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Jegyző\jegyző dokumentumai Szada\KÓDEX10\döntés-előkészítők\előterjesztések-2022\NYíLT\Előterjesztés_tervezetek\"/>
    </mc:Choice>
  </mc:AlternateContent>
  <xr:revisionPtr revIDLastSave="0" documentId="8_{BE9BEB97-C90F-42A7-8822-34417B2AD02F}" xr6:coauthVersionLast="47" xr6:coauthVersionMax="47" xr10:uidLastSave="{00000000-0000-0000-0000-000000000000}"/>
  <workbookProtection workbookPassword="F1FD" lockStructure="1"/>
  <bookViews>
    <workbookView xWindow="-120" yWindow="-120" windowWidth="29040" windowHeight="15840" xr2:uid="{00000000-000D-0000-FFFF-FFFF00000000}"/>
  </bookViews>
  <sheets>
    <sheet name="Munka1" sheetId="1" r:id="rId1"/>
  </sheets>
  <definedNames>
    <definedName name="_xlnm.Print_Area" localSheetId="0">Munka1!$A$1:$G$151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5" i="1" l="1"/>
  <c r="E147" i="1"/>
  <c r="F147" i="1"/>
  <c r="F150" i="1" s="1"/>
  <c r="E142" i="1"/>
  <c r="F142" i="1"/>
  <c r="D143" i="1"/>
  <c r="D142" i="1"/>
  <c r="C135" i="1"/>
  <c r="D135" i="1"/>
  <c r="B135" i="1"/>
  <c r="B145" i="1" s="1"/>
  <c r="B151" i="1" s="1"/>
  <c r="E139" i="1"/>
  <c r="E135" i="1" s="1"/>
  <c r="C68" i="1"/>
  <c r="D68" i="1"/>
  <c r="C56" i="1"/>
  <c r="D56" i="1"/>
  <c r="B56" i="1"/>
  <c r="C50" i="1"/>
  <c r="D50" i="1"/>
  <c r="F50" i="1"/>
  <c r="G50" i="1"/>
  <c r="H50" i="1"/>
  <c r="C42" i="1"/>
  <c r="D42" i="1"/>
  <c r="G42" i="1"/>
  <c r="H42" i="1"/>
  <c r="C37" i="1"/>
  <c r="D37" i="1"/>
  <c r="C32" i="1"/>
  <c r="C21" i="1"/>
  <c r="C117" i="1"/>
  <c r="D117" i="1"/>
  <c r="B117" i="1"/>
  <c r="C85" i="1"/>
  <c r="C108" i="1"/>
  <c r="B108" i="1"/>
  <c r="B85" i="1"/>
  <c r="B68" i="1"/>
  <c r="B21" i="1"/>
  <c r="D104" i="1"/>
  <c r="D108" i="1" s="1"/>
  <c r="D75" i="1"/>
  <c r="D84" i="1"/>
  <c r="D31" i="1"/>
  <c r="D32" i="1" s="1"/>
  <c r="D29" i="1"/>
  <c r="D11" i="1"/>
  <c r="D21" i="1" s="1"/>
  <c r="E113" i="1"/>
  <c r="F112" i="1"/>
  <c r="F111" i="1"/>
  <c r="E111" i="1"/>
  <c r="E110" i="1"/>
  <c r="E87" i="1"/>
  <c r="E99" i="1"/>
  <c r="F102" i="1"/>
  <c r="F108" i="1" s="1"/>
  <c r="M108" i="1" s="1"/>
  <c r="E90" i="1"/>
  <c r="F80" i="1"/>
  <c r="E79" i="1"/>
  <c r="F78" i="1"/>
  <c r="F77" i="1"/>
  <c r="F75" i="1"/>
  <c r="E75" i="1"/>
  <c r="E74" i="1"/>
  <c r="F74" i="1" s="1"/>
  <c r="E71" i="1"/>
  <c r="F66" i="1"/>
  <c r="E66" i="1"/>
  <c r="F62" i="1"/>
  <c r="E62" i="1"/>
  <c r="F61" i="1"/>
  <c r="E61" i="1"/>
  <c r="F55" i="1"/>
  <c r="E55" i="1"/>
  <c r="F54" i="1"/>
  <c r="E54" i="1"/>
  <c r="F53" i="1"/>
  <c r="E53" i="1"/>
  <c r="E49" i="1"/>
  <c r="E50" i="1" s="1"/>
  <c r="F40" i="1"/>
  <c r="E40" i="1"/>
  <c r="F41" i="1"/>
  <c r="E41" i="1"/>
  <c r="E35" i="1"/>
  <c r="F35" i="1" s="1"/>
  <c r="F34" i="1"/>
  <c r="E34" i="1"/>
  <c r="F29" i="1"/>
  <c r="E29" i="1"/>
  <c r="F26" i="1"/>
  <c r="E26" i="1"/>
  <c r="F24" i="1"/>
  <c r="E24" i="1"/>
  <c r="F23" i="1"/>
  <c r="E23" i="1"/>
  <c r="E12" i="1"/>
  <c r="F12" i="1" s="1"/>
  <c r="F11" i="1"/>
  <c r="E11" i="1"/>
  <c r="E150" i="1"/>
  <c r="F104" i="1"/>
  <c r="E105" i="1"/>
  <c r="E106" i="1"/>
  <c r="F135" i="1"/>
  <c r="E117" i="1" l="1"/>
  <c r="E42" i="1"/>
  <c r="D85" i="1"/>
  <c r="D118" i="1" s="1"/>
  <c r="E37" i="1"/>
  <c r="E56" i="1"/>
  <c r="E85" i="1"/>
  <c r="E32" i="1"/>
  <c r="F32" i="1"/>
  <c r="F21" i="1"/>
  <c r="F42" i="1"/>
  <c r="E68" i="1"/>
  <c r="E102" i="1"/>
  <c r="E21" i="1"/>
  <c r="F71" i="1"/>
  <c r="F85" i="1" s="1"/>
  <c r="F68" i="1"/>
  <c r="F56" i="1"/>
  <c r="E104" i="1"/>
  <c r="E108" i="1" l="1"/>
  <c r="E143" i="1" s="1"/>
  <c r="E145" i="1" s="1"/>
  <c r="D145" i="1"/>
  <c r="C151" i="1"/>
  <c r="E118" i="1" l="1"/>
  <c r="E120" i="1" s="1"/>
  <c r="D151" i="1"/>
  <c r="E130" i="1"/>
  <c r="E151" i="1" s="1"/>
  <c r="F130" i="1"/>
  <c r="B50" i="1"/>
  <c r="F113" i="1" l="1"/>
  <c r="F117" i="1" s="1"/>
  <c r="B118" i="1"/>
  <c r="C118" i="1"/>
  <c r="C120" i="1" s="1"/>
  <c r="B42" i="1"/>
  <c r="B37" i="1"/>
  <c r="B32" i="1"/>
  <c r="F118" i="1" l="1"/>
  <c r="M117" i="1"/>
  <c r="F143" i="1" s="1"/>
  <c r="B120" i="1"/>
  <c r="F145" i="1" l="1"/>
  <c r="F151" i="1" s="1"/>
  <c r="F37" i="1"/>
  <c r="F120" i="1" s="1"/>
  <c r="D120" i="1"/>
</calcChain>
</file>

<file path=xl/sharedStrings.xml><?xml version="1.0" encoding="utf-8"?>
<sst xmlns="http://schemas.openxmlformats.org/spreadsheetml/2006/main" count="197" uniqueCount="173">
  <si>
    <t>II.KIADÁSOK/e Ft/</t>
  </si>
  <si>
    <t>2022 TERV</t>
  </si>
  <si>
    <t>megjegyzés</t>
  </si>
  <si>
    <t>nettó</t>
  </si>
  <si>
    <t>bruttó</t>
  </si>
  <si>
    <t>1. Hulladékgazdálkodás</t>
  </si>
  <si>
    <t>Követelések értévesztése-lakossági hulladé</t>
  </si>
  <si>
    <t>Közvetített szolg. Díja (többlethull.zs.)</t>
  </si>
  <si>
    <t>Zsákos szelektív gyűjtés-szállítás</t>
  </si>
  <si>
    <t>zöld-híd hulladékkezelés</t>
  </si>
  <si>
    <t>Gazdálkodó szervezetek gyűjtés-szállítás</t>
  </si>
  <si>
    <t>Veszélyes hulladék gyűjtés</t>
  </si>
  <si>
    <t>megbízási díj-környezetvédelem, hulladékkezelés</t>
  </si>
  <si>
    <t>Ceres, és Evelin</t>
  </si>
  <si>
    <t>hulladék gyűjtése</t>
  </si>
  <si>
    <t>Trans Motors hulladékszállítás</t>
  </si>
  <si>
    <t>hulladék zsák</t>
  </si>
  <si>
    <t>zöld híd hulladékzsák</t>
  </si>
  <si>
    <t>Telephely bérleti díj(Oroszi S.)</t>
  </si>
  <si>
    <t>Üzemanyag</t>
  </si>
  <si>
    <t>Gépjárművek bérleti díja</t>
  </si>
  <si>
    <t>Gépkocsi vezető: Szűcs János</t>
  </si>
  <si>
    <t>Rakodó: Benedek József</t>
  </si>
  <si>
    <t>Rakodó: Zsigri István</t>
  </si>
  <si>
    <t>Egyéb személyi jellegű költség</t>
  </si>
  <si>
    <t>Bérjárulékok</t>
  </si>
  <si>
    <t>1.Hulladékgazdálkodás összesen</t>
  </si>
  <si>
    <t>2. Park és település fenntartás</t>
  </si>
  <si>
    <t>Fűkaszálás</t>
  </si>
  <si>
    <t>útmenti fák gondozása, veszélyes fakivágás</t>
  </si>
  <si>
    <t>ágdarálás</t>
  </si>
  <si>
    <t>Szabolcs ok üres marad</t>
  </si>
  <si>
    <t xml:space="preserve">áfás számla így az erdészeti tevékenységnél vettem figyelembe áfa levonhatóság miatt mivel az gazdasági tevékenység </t>
  </si>
  <si>
    <t>Köztéri bútorok beszerzése, kezelése,fenntartása</t>
  </si>
  <si>
    <t>Virágosítás</t>
  </si>
  <si>
    <t>Virágosítás-Megbízási díj+járulékai</t>
  </si>
  <si>
    <t>vásárolt anyagok, eszközök,virágok,magok</t>
  </si>
  <si>
    <t>szabolcs</t>
  </si>
  <si>
    <t>Eszközbeszerzés</t>
  </si>
  <si>
    <t>Gépfenntartás</t>
  </si>
  <si>
    <t>üzemanyagok</t>
  </si>
  <si>
    <t>2.Parkfenntartás öszesen</t>
  </si>
  <si>
    <t>3. Erdészet, fakitermelés</t>
  </si>
  <si>
    <t>Erdészeti tevékenységhez</t>
  </si>
  <si>
    <t>Erdészeti munka- fakitermelés/ágdarálás</t>
  </si>
  <si>
    <t>ebből ágdarálás:1.995e nettó</t>
  </si>
  <si>
    <t>Kiserőmű beruházás</t>
  </si>
  <si>
    <t>3. Erdészet, fakitermelés összesen</t>
  </si>
  <si>
    <t>4. Hóeltakarítás, csúszásmentesítés</t>
  </si>
  <si>
    <t>Anyagköltség (kavics, só)</t>
  </si>
  <si>
    <t>tényadat készlet?</t>
  </si>
  <si>
    <t>Gépi munkák</t>
  </si>
  <si>
    <t>Készenléti díj</t>
  </si>
  <si>
    <t>tény adat változni fog</t>
  </si>
  <si>
    <t>4.Hóeltakarítás, csúszásment. Összesen</t>
  </si>
  <si>
    <t>5.Útépítés,Útjavítás, karbantartás</t>
  </si>
  <si>
    <t>Útjavítás (aszfaltozott utak)</t>
  </si>
  <si>
    <t>lesz tény adat is</t>
  </si>
  <si>
    <t>Murvás utak karbantartása</t>
  </si>
  <si>
    <t>közbesz?</t>
  </si>
  <si>
    <t xml:space="preserve">Anyagköltség </t>
  </si>
  <si>
    <t>Útak, járdák átereszek tisztítása</t>
  </si>
  <si>
    <t>Karbantatási munkák -forgalomtechnikai berendezések</t>
  </si>
  <si>
    <t>ide tettem tény adatként a CSP Trade táblákat</t>
  </si>
  <si>
    <t>5. Útjavítás, karbantartás összesen</t>
  </si>
  <si>
    <t>9.Labdarugó pálya beruházás</t>
  </si>
  <si>
    <t>Szabolcs</t>
  </si>
  <si>
    <t>6. 2111 Szada helyi újság megjelentetése</t>
  </si>
  <si>
    <t>Főszerkesztői díj</t>
  </si>
  <si>
    <t>Tördelőszerkesztő</t>
  </si>
  <si>
    <t>Nyomdaköltség</t>
  </si>
  <si>
    <t>6. 2111 Szada helyi újság megjelentetése összesen</t>
  </si>
  <si>
    <t>7. Rendezvényszervezés</t>
  </si>
  <si>
    <t>8. Ingatlan fenntartás</t>
  </si>
  <si>
    <t>11. ÚTTERV</t>
  </si>
  <si>
    <t>mérnöki tervdokumentáció</t>
  </si>
  <si>
    <t>műszaki ellenőr dij</t>
  </si>
  <si>
    <t>Ottó</t>
  </si>
  <si>
    <t>tervezői dij</t>
  </si>
  <si>
    <t>geodéta költségek</t>
  </si>
  <si>
    <t>kivitelezési költségek</t>
  </si>
  <si>
    <t>pótmunka</t>
  </si>
  <si>
    <t>közbeszereztetési szakjogász</t>
  </si>
  <si>
    <t>egyéb általános költségek</t>
  </si>
  <si>
    <t>ide irtam egy összegben a bankszlan megmaradt pénzt dobd szét a sorokra</t>
  </si>
  <si>
    <t>csapadékvíz elvezető nélkül</t>
  </si>
  <si>
    <t>ÚTTERV összesen</t>
  </si>
  <si>
    <t>10. Működési költségek</t>
  </si>
  <si>
    <t>Dologi kiadások: Irodaszerek, tisztítószerek, post-telefon költség, kamarai- hatósági díjak, munka-védő felszerelések,biztosítás, oktatás-továbbképzé, egyéb dologi kiadások</t>
  </si>
  <si>
    <t>anyagköltségek-fogyóeszközök,tisztítószerek,irodaszerek</t>
  </si>
  <si>
    <t>Szoftver bérleti díj</t>
  </si>
  <si>
    <t>Posta költség</t>
  </si>
  <si>
    <t>Telefon költség,internet</t>
  </si>
  <si>
    <t>külön fel nem sorolt igénybevett szolg</t>
  </si>
  <si>
    <t>Kamarai , egyesületi tagdíjak</t>
  </si>
  <si>
    <t>Hatósági igazg., szolg.díjak, illetékek</t>
  </si>
  <si>
    <t>Munkaruha, védőeszköz</t>
  </si>
  <si>
    <t>Védőital</t>
  </si>
  <si>
    <t>Vagyon és felelősség biztosítás</t>
  </si>
  <si>
    <t>felújítási munkák-Telephely</t>
  </si>
  <si>
    <t>Oktatás, továbbképzés</t>
  </si>
  <si>
    <t>Covid elleni védekezés</t>
  </si>
  <si>
    <t>Egyéb ráfordítások</t>
  </si>
  <si>
    <t>áfa ellenőrzés</t>
  </si>
  <si>
    <t>Dologi kiadások öszesen</t>
  </si>
  <si>
    <t>Bér és járulék költség</t>
  </si>
  <si>
    <t>Ügyvezető</t>
  </si>
  <si>
    <t>Asszisztens</t>
  </si>
  <si>
    <t xml:space="preserve">januárban vége </t>
  </si>
  <si>
    <t>Megbízási szerződés-locsolás</t>
  </si>
  <si>
    <t>virágosítás</t>
  </si>
  <si>
    <t>jutalom 2 havi bér + repi</t>
  </si>
  <si>
    <t xml:space="preserve"> saját gk. hivatali célú haszn. (ügyvezető)</t>
  </si>
  <si>
    <t>SZÉP kártya</t>
  </si>
  <si>
    <t>FB tagok illetményeinek járuléka</t>
  </si>
  <si>
    <t>FB tagok illetménye</t>
  </si>
  <si>
    <t>FB elnök illetmény</t>
  </si>
  <si>
    <t>FB tag 1</t>
  </si>
  <si>
    <t>FB tag 2</t>
  </si>
  <si>
    <t>Bér és járulékok összesen</t>
  </si>
  <si>
    <t>Megbízási díjak</t>
  </si>
  <si>
    <t>Jogi képviselet</t>
  </si>
  <si>
    <t>Könyvvizsgálat</t>
  </si>
  <si>
    <t>Számviteli szolgáltatás</t>
  </si>
  <si>
    <t>Számítástechnikai rendszerfelügyelet</t>
  </si>
  <si>
    <t>Munka-és tűzvédelmi szakértő</t>
  </si>
  <si>
    <t>Foglalkozás egészségügyi szolgáltatás</t>
  </si>
  <si>
    <t>Környezetvédelmi szolg.</t>
  </si>
  <si>
    <t>Megbízási díjakösszesen</t>
  </si>
  <si>
    <t>11. Havária</t>
  </si>
  <si>
    <t>MINDÖSSZESEN</t>
  </si>
  <si>
    <t>I. BEVÉTELEK/e Ft/</t>
  </si>
  <si>
    <t>Lakossági díjak NHKV 2n.év</t>
  </si>
  <si>
    <t>Zöld Híd alváll.díj, katvéd kártalanítás</t>
  </si>
  <si>
    <t>mindösszesen sorban ennek a sornak az értéke nem szerepel, ahogy a tervben sem szerepelt</t>
  </si>
  <si>
    <t>Zsák, edényzet értékesítés</t>
  </si>
  <si>
    <t>itt csak a hulladékzsák értékesítést hagytam a többit áttettem közfeladatra mert már nincs kártalanítás</t>
  </si>
  <si>
    <t>Hulladékgazdálkodás összesen</t>
  </si>
  <si>
    <t>2. Sportpálya közvetített szolgáltatás dija</t>
  </si>
  <si>
    <t>3. Erdőgazdálkodási tevékenység</t>
  </si>
  <si>
    <t>ezt nézd meg mert ezen veszteség van</t>
  </si>
  <si>
    <t>4. Önkormányzati megrendelés</t>
  </si>
  <si>
    <t>5.Önkormányzat által átadott pénzeszköz-Működési támogatás</t>
  </si>
  <si>
    <t>- Közfeladatok ellátására</t>
  </si>
  <si>
    <t>Veszélyes hulladékgyűjtés</t>
  </si>
  <si>
    <t>Hulladékszállítás</t>
  </si>
  <si>
    <t>Hóeltakarítás</t>
  </si>
  <si>
    <t>Parkgondozás/település fenntartás</t>
  </si>
  <si>
    <t>Útkarbantartás</t>
  </si>
  <si>
    <t>SZADA újság</t>
  </si>
  <si>
    <t>-Fejlesztési célú pénzeszköz</t>
  </si>
  <si>
    <t>Ide bruttó=nettó összeggel irható a még várható UTÉPÍTÉSI hozzájárulás azon felül amit már megkapott a Szada, de akkor a költség sort is növelni kell vele (45.)</t>
  </si>
  <si>
    <t>-Általános költségek fedezetére átadott pénzeszköz</t>
  </si>
  <si>
    <t>Önk. által átadott pénzeszköz összesen</t>
  </si>
  <si>
    <t>6. Egyéb bevétel</t>
  </si>
  <si>
    <t>nyitó pénzeszközök</t>
  </si>
  <si>
    <t>elhatárolt feloldott bevétel</t>
  </si>
  <si>
    <t>ITT A FEL NEM HASZNÁLT ÚT a terv adatokban</t>
  </si>
  <si>
    <t>levonható áfa</t>
  </si>
  <si>
    <t>Megbizási szerződés I</t>
  </si>
  <si>
    <t>Megbizási szerződés Sport pálya gondnok-II</t>
  </si>
  <si>
    <t>Karbantartó IV</t>
  </si>
  <si>
    <t>Karbantartó V</t>
  </si>
  <si>
    <t>Karbantartó VI</t>
  </si>
  <si>
    <t>Karbantartó VII</t>
  </si>
  <si>
    <t>Karbantartó VIII</t>
  </si>
  <si>
    <t>Megbízási szerződés karbantartó csop vez</t>
  </si>
  <si>
    <t>2021 ELŐZETES</t>
  </si>
  <si>
    <t>só leltár 4505</t>
  </si>
  <si>
    <t>2021 TERV</t>
  </si>
  <si>
    <t>Telephely vezető mv</t>
  </si>
  <si>
    <t>MMS781</t>
  </si>
  <si>
    <t>- Havária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</si>
</sst>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F_t_-;\-* #,##0.00\ _F_t_-;_-* &quot;-&quot;??\ _F_t_-;_-@_-"/>
    <numFmt numFmtId="165" formatCode="_-* #,##0_-;\-* #,##0_-;_-* &quot;-&quot;??_-;_-@_-"/>
    <numFmt numFmtId="166" formatCode="_-* #,##0\ _F_t_-;\-* #,##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0061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0061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5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19" fillId="6" borderId="10" applyNumberFormat="0" applyAlignment="0" applyProtection="0"/>
    <xf numFmtId="0" fontId="1" fillId="7" borderId="0" applyNumberFormat="0" applyBorder="0" applyAlignment="0" applyProtection="0"/>
  </cellStyleXfs>
  <cellXfs count="136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165" fontId="4" fillId="0" borderId="1" xfId="1" applyNumberFormat="1" applyFont="1" applyBorder="1" applyAlignment="1" applyProtection="1">
      <alignment horizontal="center"/>
      <protection locked="0"/>
    </xf>
    <xf numFmtId="165" fontId="4" fillId="0" borderId="2" xfId="1" applyNumberFormat="1" applyFont="1" applyBorder="1" applyAlignment="1" applyProtection="1">
      <alignment horizontal="center"/>
      <protection locked="0"/>
    </xf>
    <xf numFmtId="0" fontId="10" fillId="2" borderId="6" xfId="2" applyFont="1" applyBorder="1" applyProtection="1">
      <protection locked="0"/>
    </xf>
    <xf numFmtId="165" fontId="2" fillId="2" borderId="1" xfId="2" applyNumberFormat="1" applyBorder="1" applyProtection="1">
      <protection locked="0"/>
    </xf>
    <xf numFmtId="165" fontId="2" fillId="2" borderId="2" xfId="2" applyNumberFormat="1" applyBorder="1" applyProtection="1">
      <protection locked="0"/>
    </xf>
    <xf numFmtId="0" fontId="0" fillId="0" borderId="6" xfId="0" applyBorder="1" applyProtection="1">
      <protection locked="0"/>
    </xf>
    <xf numFmtId="165" fontId="0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2" xfId="1" applyNumberFormat="1" applyFont="1" applyBorder="1" applyAlignment="1" applyProtection="1">
      <alignment horizontal="center" vertical="center"/>
      <protection locked="0"/>
    </xf>
    <xf numFmtId="0" fontId="3" fillId="3" borderId="6" xfId="3" applyBorder="1" applyProtection="1">
      <protection locked="0"/>
    </xf>
    <xf numFmtId="165" fontId="3" fillId="3" borderId="1" xfId="3" applyNumberFormat="1" applyBorder="1" applyAlignment="1" applyProtection="1">
      <alignment horizontal="center" vertical="center"/>
      <protection locked="0"/>
    </xf>
    <xf numFmtId="165" fontId="3" fillId="3" borderId="2" xfId="3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wrapText="1"/>
      <protection locked="0"/>
    </xf>
    <xf numFmtId="165" fontId="3" fillId="3" borderId="1" xfId="1" applyNumberFormat="1" applyFont="1" applyFill="1" applyBorder="1" applyAlignment="1" applyProtection="1">
      <alignment horizontal="center" vertical="center"/>
      <protection locked="0"/>
    </xf>
    <xf numFmtId="165" fontId="3" fillId="3" borderId="2" xfId="1" applyNumberFormat="1" applyFont="1" applyFill="1" applyBorder="1" applyAlignment="1" applyProtection="1">
      <alignment horizontal="center" vertical="center"/>
      <protection locked="0"/>
    </xf>
    <xf numFmtId="165" fontId="10" fillId="2" borderId="1" xfId="2" applyNumberFormat="1" applyFont="1" applyBorder="1" applyAlignment="1" applyProtection="1">
      <alignment horizontal="center" vertical="center"/>
      <protection locked="0"/>
    </xf>
    <xf numFmtId="165" fontId="10" fillId="2" borderId="2" xfId="2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protection locked="0"/>
    </xf>
    <xf numFmtId="0" fontId="10" fillId="2" borderId="6" xfId="2" applyFont="1" applyBorder="1" applyAlignment="1" applyProtection="1">
      <alignment wrapText="1"/>
      <protection locked="0"/>
    </xf>
    <xf numFmtId="165" fontId="2" fillId="2" borderId="1" xfId="2" applyNumberFormat="1" applyBorder="1" applyAlignment="1" applyProtection="1">
      <alignment horizontal="center" vertical="center"/>
      <protection locked="0"/>
    </xf>
    <xf numFmtId="165" fontId="2" fillId="2" borderId="2" xfId="2" applyNumberFormat="1" applyBorder="1" applyAlignment="1" applyProtection="1">
      <alignment horizontal="center" vertical="center"/>
      <protection locked="0"/>
    </xf>
    <xf numFmtId="0" fontId="3" fillId="3" borderId="6" xfId="3" applyBorder="1" applyAlignment="1" applyProtection="1">
      <alignment wrapText="1"/>
      <protection locked="0"/>
    </xf>
    <xf numFmtId="165" fontId="10" fillId="2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7" fillId="4" borderId="6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7" fillId="4" borderId="2" xfId="0" applyFont="1" applyFill="1" applyBorder="1" applyAlignment="1" applyProtection="1">
      <alignment wrapText="1"/>
      <protection locked="0"/>
    </xf>
    <xf numFmtId="165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7" xfId="2" applyFont="1" applyBorder="1" applyProtection="1">
      <protection locked="0"/>
    </xf>
    <xf numFmtId="165" fontId="10" fillId="2" borderId="1" xfId="2" applyNumberFormat="1" applyFont="1" applyBorder="1" applyProtection="1">
      <protection locked="0"/>
    </xf>
    <xf numFmtId="165" fontId="10" fillId="2" borderId="2" xfId="2" applyNumberFormat="1" applyFont="1" applyBorder="1" applyProtection="1">
      <protection locked="0"/>
    </xf>
    <xf numFmtId="165" fontId="3" fillId="3" borderId="1" xfId="3" applyNumberFormat="1" applyBorder="1" applyProtection="1">
      <protection locked="0"/>
    </xf>
    <xf numFmtId="165" fontId="3" fillId="3" borderId="2" xfId="3" applyNumberFormat="1" applyBorder="1" applyProtection="1">
      <protection locked="0"/>
    </xf>
    <xf numFmtId="0" fontId="12" fillId="0" borderId="6" xfId="3" applyFont="1" applyFill="1" applyBorder="1" applyProtection="1">
      <protection locked="0"/>
    </xf>
    <xf numFmtId="165" fontId="12" fillId="0" borderId="1" xfId="3" applyNumberFormat="1" applyFont="1" applyFill="1" applyBorder="1" applyProtection="1">
      <protection locked="0"/>
    </xf>
    <xf numFmtId="165" fontId="12" fillId="0" borderId="2" xfId="3" applyNumberFormat="1" applyFont="1" applyFill="1" applyBorder="1" applyProtection="1">
      <protection locked="0"/>
    </xf>
    <xf numFmtId="49" fontId="15" fillId="0" borderId="6" xfId="2" applyNumberFormat="1" applyFont="1" applyFill="1" applyBorder="1" applyProtection="1">
      <protection locked="0"/>
    </xf>
    <xf numFmtId="165" fontId="15" fillId="0" borderId="1" xfId="2" applyNumberFormat="1" applyFont="1" applyFill="1" applyBorder="1" applyProtection="1">
      <protection locked="0"/>
    </xf>
    <xf numFmtId="165" fontId="15" fillId="0" borderId="2" xfId="2" applyNumberFormat="1" applyFont="1" applyFill="1" applyBorder="1" applyProtection="1">
      <protection locked="0"/>
    </xf>
    <xf numFmtId="165" fontId="14" fillId="0" borderId="1" xfId="2" applyNumberFormat="1" applyFont="1" applyFill="1" applyBorder="1" applyProtection="1">
      <protection locked="0"/>
    </xf>
    <xf numFmtId="165" fontId="14" fillId="0" borderId="2" xfId="2" applyNumberFormat="1" applyFont="1" applyFill="1" applyBorder="1" applyProtection="1">
      <protection locked="0"/>
    </xf>
    <xf numFmtId="165" fontId="14" fillId="0" borderId="1" xfId="1" applyNumberFormat="1" applyFont="1" applyFill="1" applyBorder="1" applyProtection="1">
      <protection locked="0"/>
    </xf>
    <xf numFmtId="165" fontId="14" fillId="0" borderId="2" xfId="1" applyNumberFormat="1" applyFont="1" applyFill="1" applyBorder="1" applyProtection="1">
      <protection locked="0"/>
    </xf>
    <xf numFmtId="0" fontId="12" fillId="0" borderId="6" xfId="2" applyFont="1" applyFill="1" applyBorder="1" applyProtection="1">
      <protection locked="0"/>
    </xf>
    <xf numFmtId="166" fontId="10" fillId="2" borderId="7" xfId="2" applyNumberFormat="1" applyFont="1" applyBorder="1" applyProtection="1">
      <protection locked="0"/>
    </xf>
    <xf numFmtId="165" fontId="10" fillId="2" borderId="8" xfId="2" applyNumberFormat="1" applyFont="1" applyBorder="1" applyProtection="1">
      <protection locked="0"/>
    </xf>
    <xf numFmtId="165" fontId="10" fillId="2" borderId="9" xfId="2" applyNumberFormat="1" applyFont="1" applyBorder="1" applyProtection="1">
      <protection locked="0"/>
    </xf>
    <xf numFmtId="165" fontId="0" fillId="0" borderId="0" xfId="1" applyNumberFormat="1" applyFont="1" applyProtection="1"/>
    <xf numFmtId="0" fontId="9" fillId="0" borderId="1" xfId="0" applyFont="1" applyBorder="1"/>
    <xf numFmtId="165" fontId="9" fillId="0" borderId="1" xfId="1" applyNumberFormat="1" applyFont="1" applyBorder="1" applyAlignment="1" applyProtection="1">
      <alignment horizontal="center"/>
    </xf>
    <xf numFmtId="165" fontId="4" fillId="0" borderId="1" xfId="1" applyNumberFormat="1" applyFont="1" applyBorder="1" applyAlignment="1" applyProtection="1">
      <alignment horizontal="center"/>
    </xf>
    <xf numFmtId="0" fontId="2" fillId="2" borderId="1" xfId="2" applyBorder="1" applyProtection="1"/>
    <xf numFmtId="165" fontId="2" fillId="2" borderId="1" xfId="2" applyNumberFormat="1" applyBorder="1" applyProtection="1"/>
    <xf numFmtId="165" fontId="0" fillId="0" borderId="1" xfId="1" applyNumberFormat="1" applyFont="1" applyBorder="1" applyAlignment="1" applyProtection="1">
      <alignment horizontal="center" vertical="center"/>
    </xf>
    <xf numFmtId="165" fontId="3" fillId="3" borderId="1" xfId="3" applyNumberFormat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3" fillId="3" borderId="1" xfId="1" applyNumberFormat="1" applyFont="1" applyFill="1" applyBorder="1" applyAlignment="1" applyProtection="1">
      <alignment horizontal="center" vertical="center"/>
    </xf>
    <xf numFmtId="165" fontId="10" fillId="2" borderId="1" xfId="2" applyNumberFormat="1" applyFont="1" applyBorder="1" applyAlignment="1" applyProtection="1">
      <alignment horizontal="center" vertical="center"/>
    </xf>
    <xf numFmtId="165" fontId="8" fillId="0" borderId="1" xfId="1" applyNumberFormat="1" applyFont="1" applyBorder="1" applyAlignment="1" applyProtection="1">
      <alignment horizontal="center" vertical="center"/>
    </xf>
    <xf numFmtId="165" fontId="2" fillId="2" borderId="1" xfId="2" applyNumberFormat="1" applyBorder="1" applyAlignment="1" applyProtection="1">
      <alignment horizontal="center" vertical="center" wrapText="1"/>
    </xf>
    <xf numFmtId="165" fontId="2" fillId="2" borderId="1" xfId="2" applyNumberFormat="1" applyBorder="1" applyAlignment="1" applyProtection="1">
      <alignment horizontal="center" vertical="center"/>
    </xf>
    <xf numFmtId="165" fontId="10" fillId="2" borderId="1" xfId="2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Border="1" applyAlignment="1" applyProtection="1">
      <alignment horizontal="center" vertical="center"/>
    </xf>
    <xf numFmtId="165" fontId="3" fillId="3" borderId="1" xfId="3" applyNumberFormat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wrapText="1"/>
    </xf>
    <xf numFmtId="165" fontId="7" fillId="4" borderId="1" xfId="1" applyNumberFormat="1" applyFont="1" applyFill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/>
    </xf>
    <xf numFmtId="165" fontId="17" fillId="2" borderId="8" xfId="2" applyNumberFormat="1" applyFont="1" applyBorder="1" applyAlignment="1" applyProtection="1">
      <alignment horizontal="center" vertical="center"/>
    </xf>
    <xf numFmtId="165" fontId="10" fillId="2" borderId="1" xfId="2" applyNumberFormat="1" applyFont="1" applyBorder="1" applyProtection="1"/>
    <xf numFmtId="165" fontId="3" fillId="3" borderId="1" xfId="3" applyNumberFormat="1" applyBorder="1" applyProtection="1"/>
    <xf numFmtId="165" fontId="12" fillId="0" borderId="1" xfId="3" applyNumberFormat="1" applyFont="1" applyFill="1" applyBorder="1" applyProtection="1"/>
    <xf numFmtId="165" fontId="16" fillId="0" borderId="1" xfId="2" applyNumberFormat="1" applyFont="1" applyFill="1" applyBorder="1" applyProtection="1"/>
    <xf numFmtId="165" fontId="14" fillId="0" borderId="1" xfId="2" applyNumberFormat="1" applyFont="1" applyFill="1" applyBorder="1" applyProtection="1"/>
    <xf numFmtId="165" fontId="13" fillId="0" borderId="1" xfId="2" applyNumberFormat="1" applyFont="1" applyFill="1" applyBorder="1" applyProtection="1"/>
    <xf numFmtId="165" fontId="14" fillId="0" borderId="1" xfId="1" applyNumberFormat="1" applyFont="1" applyFill="1" applyBorder="1" applyProtection="1"/>
    <xf numFmtId="165" fontId="16" fillId="0" borderId="1" xfId="1" applyNumberFormat="1" applyFont="1" applyFill="1" applyBorder="1" applyProtection="1"/>
    <xf numFmtId="165" fontId="10" fillId="0" borderId="1" xfId="2" applyNumberFormat="1" applyFont="1" applyFill="1" applyBorder="1" applyProtection="1"/>
    <xf numFmtId="165" fontId="10" fillId="2" borderId="8" xfId="2" applyNumberFormat="1" applyFont="1" applyBorder="1" applyProtection="1"/>
    <xf numFmtId="0" fontId="12" fillId="0" borderId="0" xfId="0" applyFont="1"/>
    <xf numFmtId="165" fontId="12" fillId="0" borderId="1" xfId="4" applyNumberFormat="1" applyFont="1" applyFill="1" applyBorder="1" applyAlignment="1" applyProtection="1">
      <alignment horizontal="center" vertical="center"/>
      <protection locked="0"/>
    </xf>
    <xf numFmtId="165" fontId="12" fillId="0" borderId="2" xfId="4" applyNumberFormat="1" applyFont="1" applyFill="1" applyBorder="1" applyAlignment="1" applyProtection="1">
      <alignment horizontal="center" vertical="center"/>
      <protection locked="0"/>
    </xf>
    <xf numFmtId="0" fontId="11" fillId="5" borderId="0" xfId="4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4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5" fontId="0" fillId="0" borderId="0" xfId="0" applyNumberFormat="1"/>
    <xf numFmtId="49" fontId="18" fillId="0" borderId="6" xfId="2" applyNumberFormat="1" applyFont="1" applyFill="1" applyBorder="1" applyProtection="1">
      <protection locked="0"/>
    </xf>
    <xf numFmtId="0" fontId="18" fillId="0" borderId="6" xfId="4" applyFont="1" applyFill="1" applyBorder="1" applyProtection="1">
      <protection locked="0"/>
    </xf>
    <xf numFmtId="165" fontId="15" fillId="0" borderId="1" xfId="1" applyNumberFormat="1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165" fontId="14" fillId="0" borderId="1" xfId="4" applyNumberFormat="1" applyFont="1" applyFill="1" applyBorder="1" applyProtection="1">
      <protection locked="0"/>
    </xf>
    <xf numFmtId="165" fontId="14" fillId="0" borderId="2" xfId="4" applyNumberFormat="1" applyFont="1" applyFill="1" applyBorder="1" applyProtection="1">
      <protection locked="0"/>
    </xf>
    <xf numFmtId="165" fontId="15" fillId="0" borderId="1" xfId="1" applyNumberFormat="1" applyFont="1" applyFill="1" applyBorder="1" applyProtection="1"/>
    <xf numFmtId="0" fontId="12" fillId="0" borderId="6" xfId="3" applyFont="1" applyFill="1" applyBorder="1" applyAlignment="1" applyProtection="1">
      <alignment wrapText="1"/>
      <protection locked="0"/>
    </xf>
    <xf numFmtId="165" fontId="12" fillId="0" borderId="1" xfId="3" applyNumberFormat="1" applyFont="1" applyFill="1" applyBorder="1" applyAlignment="1" applyProtection="1">
      <alignment horizontal="center" vertical="center" wrapText="1"/>
    </xf>
    <xf numFmtId="165" fontId="10" fillId="2" borderId="2" xfId="2" applyNumberFormat="1" applyFont="1" applyBorder="1" applyAlignment="1" applyProtection="1">
      <alignment horizontal="center" vertical="center" wrapText="1"/>
      <protection locked="0"/>
    </xf>
    <xf numFmtId="0" fontId="10" fillId="2" borderId="1" xfId="2" applyFont="1" applyBorder="1" applyProtection="1">
      <protection locked="0"/>
    </xf>
    <xf numFmtId="0" fontId="10" fillId="2" borderId="2" xfId="2" applyFont="1" applyBorder="1" applyProtection="1">
      <protection locked="0"/>
    </xf>
    <xf numFmtId="0" fontId="10" fillId="0" borderId="1" xfId="2" applyFont="1" applyFill="1" applyBorder="1" applyProtection="1">
      <protection locked="0"/>
    </xf>
    <xf numFmtId="165" fontId="12" fillId="0" borderId="1" xfId="1" applyNumberFormat="1" applyFont="1" applyFill="1" applyBorder="1" applyProtection="1">
      <protection locked="0"/>
    </xf>
    <xf numFmtId="165" fontId="12" fillId="0" borderId="1" xfId="1" applyNumberFormat="1" applyFont="1" applyFill="1" applyBorder="1" applyAlignment="1" applyProtection="1">
      <alignment horizontal="center" vertical="center"/>
    </xf>
    <xf numFmtId="165" fontId="12" fillId="0" borderId="1" xfId="1" applyNumberFormat="1" applyFont="1" applyFill="1" applyBorder="1" applyAlignment="1" applyProtection="1">
      <alignment horizontal="center" vertical="center"/>
      <protection locked="0"/>
    </xf>
    <xf numFmtId="165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wrapText="1"/>
      <protection locked="0"/>
    </xf>
    <xf numFmtId="165" fontId="20" fillId="0" borderId="1" xfId="1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protection locked="0"/>
    </xf>
    <xf numFmtId="165" fontId="1" fillId="0" borderId="1" xfId="8" applyNumberFormat="1" applyFill="1" applyBorder="1" applyAlignment="1" applyProtection="1">
      <alignment horizontal="center" vertical="center"/>
      <protection locked="0"/>
    </xf>
    <xf numFmtId="165" fontId="1" fillId="0" borderId="2" xfId="8" applyNumberFormat="1" applyFill="1" applyBorder="1" applyAlignment="1" applyProtection="1">
      <alignment horizontal="center" vertical="center"/>
      <protection locked="0"/>
    </xf>
    <xf numFmtId="0" fontId="19" fillId="6" borderId="11" xfId="7" applyBorder="1" applyAlignment="1">
      <alignment horizontal="left" wrapText="1"/>
    </xf>
    <xf numFmtId="165" fontId="10" fillId="2" borderId="2" xfId="2" applyNumberFormat="1" applyFont="1" applyBorder="1" applyAlignment="1" applyProtection="1">
      <alignment horizontal="center" vertical="center"/>
    </xf>
    <xf numFmtId="165" fontId="20" fillId="0" borderId="2" xfId="1" applyNumberFormat="1" applyFont="1" applyBorder="1" applyAlignment="1" applyProtection="1">
      <alignment horizontal="center" vertical="center"/>
      <protection locked="0"/>
    </xf>
    <xf numFmtId="165" fontId="10" fillId="2" borderId="2" xfId="2" applyNumberFormat="1" applyFont="1" applyBorder="1" applyProtection="1"/>
    <xf numFmtId="165" fontId="10" fillId="8" borderId="1" xfId="2" applyNumberFormat="1" applyFont="1" applyFill="1" applyBorder="1" applyProtection="1">
      <protection locked="0"/>
    </xf>
    <xf numFmtId="165" fontId="10" fillId="8" borderId="2" xfId="2" applyNumberFormat="1" applyFont="1" applyFill="1" applyBorder="1" applyProtection="1">
      <protection locked="0"/>
    </xf>
    <xf numFmtId="165" fontId="4" fillId="0" borderId="4" xfId="1" applyNumberFormat="1" applyFont="1" applyBorder="1" applyAlignment="1" applyProtection="1">
      <alignment horizontal="center"/>
    </xf>
    <xf numFmtId="165" fontId="10" fillId="2" borderId="1" xfId="1" applyNumberFormat="1" applyFont="1" applyFill="1" applyBorder="1" applyProtection="1">
      <protection locked="0"/>
    </xf>
    <xf numFmtId="1" fontId="0" fillId="0" borderId="2" xfId="0" applyNumberFormat="1" applyBorder="1"/>
    <xf numFmtId="165" fontId="15" fillId="0" borderId="2" xfId="1" applyNumberFormat="1" applyFont="1" applyFill="1" applyBorder="1" applyProtection="1"/>
    <xf numFmtId="165" fontId="0" fillId="0" borderId="1" xfId="1" applyNumberFormat="1" applyFont="1" applyBorder="1" applyProtection="1"/>
    <xf numFmtId="165" fontId="10" fillId="2" borderId="2" xfId="2" applyNumberFormat="1" applyFont="1" applyBorder="1" applyAlignment="1" applyProtection="1">
      <alignment horizontal="center" vertical="center" wrapText="1"/>
    </xf>
    <xf numFmtId="165" fontId="7" fillId="4" borderId="2" xfId="1" applyNumberFormat="1" applyFont="1" applyFill="1" applyBorder="1" applyAlignment="1" applyProtection="1">
      <alignment horizontal="center" vertical="center" wrapText="1"/>
    </xf>
    <xf numFmtId="165" fontId="17" fillId="2" borderId="9" xfId="2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165" fontId="4" fillId="0" borderId="4" xfId="1" applyNumberFormat="1" applyFont="1" applyBorder="1" applyAlignment="1" applyProtection="1">
      <alignment horizontal="center"/>
      <protection locked="0"/>
    </xf>
    <xf numFmtId="165" fontId="4" fillId="0" borderId="5" xfId="1" applyNumberFormat="1" applyFont="1" applyBorder="1" applyAlignment="1" applyProtection="1">
      <alignment horizontal="center"/>
      <protection locked="0"/>
    </xf>
  </cellXfs>
  <cellStyles count="9">
    <cellStyle name="20% - 4. jelölőszín" xfId="8" builtinId="42"/>
    <cellStyle name="Bevitel" xfId="7" builtinId="20"/>
    <cellStyle name="Ezres" xfId="1" builtinId="3"/>
    <cellStyle name="Ezres 2" xfId="6" xr:uid="{00000000-0005-0000-0000-000003000000}"/>
    <cellStyle name="Jó" xfId="2" builtinId="26"/>
    <cellStyle name="Normál" xfId="0" builtinId="0"/>
    <cellStyle name="Normál 2" xfId="5" xr:uid="{00000000-0005-0000-0000-000007000000}"/>
    <cellStyle name="Rossz" xfId="3" builtinId="27"/>
    <cellStyle name="Semleges" xfId="4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1"/>
  <sheetViews>
    <sheetView tabSelected="1" view="pageBreakPreview" topLeftCell="A125" zoomScaleNormal="100" zoomScaleSheetLayoutView="100" workbookViewId="0">
      <selection activeCell="E68" sqref="E68"/>
    </sheetView>
  </sheetViews>
  <sheetFormatPr defaultRowHeight="15" x14ac:dyDescent="0.25"/>
  <cols>
    <col min="1" max="1" width="50" style="2" customWidth="1"/>
    <col min="2" max="2" width="11.5703125" customWidth="1"/>
    <col min="3" max="3" width="14.28515625" style="51" hidden="1" customWidth="1"/>
    <col min="4" max="4" width="15.28515625" style="51" bestFit="1" customWidth="1"/>
    <col min="5" max="5" width="11.5703125" style="3" bestFit="1" customWidth="1"/>
    <col min="6" max="6" width="11.5703125" style="3" customWidth="1"/>
    <col min="7" max="7" width="49.5703125" style="89" hidden="1" customWidth="1"/>
    <col min="8" max="8" width="45.7109375" style="1" hidden="1" customWidth="1"/>
    <col min="9" max="29" width="9.140625" customWidth="1"/>
  </cols>
  <sheetData>
    <row r="1" spans="1:7" ht="15.75" thickBot="1" x14ac:dyDescent="0.3"/>
    <row r="2" spans="1:7" x14ac:dyDescent="0.25">
      <c r="A2" s="131" t="s">
        <v>0</v>
      </c>
      <c r="B2" s="133" t="s">
        <v>169</v>
      </c>
      <c r="C2" s="133"/>
      <c r="D2" s="123" t="s">
        <v>167</v>
      </c>
      <c r="E2" s="134" t="s">
        <v>1</v>
      </c>
      <c r="F2" s="135"/>
      <c r="G2" s="90" t="s">
        <v>2</v>
      </c>
    </row>
    <row r="3" spans="1:7" x14ac:dyDescent="0.25">
      <c r="A3" s="132"/>
      <c r="B3" s="52" t="s">
        <v>3</v>
      </c>
      <c r="C3" s="53" t="s">
        <v>4</v>
      </c>
      <c r="D3" s="54" t="s">
        <v>3</v>
      </c>
      <c r="E3" s="4" t="s">
        <v>3</v>
      </c>
      <c r="F3" s="5" t="s">
        <v>4</v>
      </c>
    </row>
    <row r="4" spans="1:7" x14ac:dyDescent="0.25">
      <c r="A4" s="6" t="s">
        <v>5</v>
      </c>
      <c r="B4" s="55"/>
      <c r="C4" s="56"/>
      <c r="D4" s="56"/>
      <c r="E4" s="7"/>
      <c r="F4" s="8"/>
    </row>
    <row r="5" spans="1:7" hidden="1" x14ac:dyDescent="0.25">
      <c r="A5" s="9" t="s">
        <v>6</v>
      </c>
      <c r="B5" s="57"/>
      <c r="C5" s="57"/>
      <c r="D5" s="57"/>
      <c r="E5" s="10"/>
      <c r="F5" s="11"/>
    </row>
    <row r="6" spans="1:7" hidden="1" x14ac:dyDescent="0.25">
      <c r="A6" s="9" t="s">
        <v>7</v>
      </c>
      <c r="B6" s="57"/>
      <c r="C6" s="57"/>
      <c r="D6" s="57"/>
      <c r="E6" s="10"/>
      <c r="F6" s="11"/>
    </row>
    <row r="7" spans="1:7" hidden="1" x14ac:dyDescent="0.25">
      <c r="A7" s="12" t="s">
        <v>8</v>
      </c>
      <c r="B7" s="58"/>
      <c r="C7" s="58"/>
      <c r="D7" s="58">
        <v>0</v>
      </c>
      <c r="E7" s="13"/>
      <c r="F7" s="14"/>
      <c r="G7" s="89" t="s">
        <v>9</v>
      </c>
    </row>
    <row r="8" spans="1:7" hidden="1" x14ac:dyDescent="0.25">
      <c r="A8" s="15" t="s">
        <v>10</v>
      </c>
      <c r="B8" s="59"/>
      <c r="C8" s="59"/>
      <c r="D8" s="57"/>
      <c r="E8" s="10"/>
      <c r="F8" s="11"/>
    </row>
    <row r="9" spans="1:7" x14ac:dyDescent="0.25">
      <c r="A9" s="9" t="s">
        <v>11</v>
      </c>
      <c r="B9" s="57">
        <v>4000</v>
      </c>
      <c r="C9" s="57">
        <v>4000</v>
      </c>
      <c r="D9" s="57">
        <v>6444</v>
      </c>
      <c r="E9" s="10">
        <v>6500</v>
      </c>
      <c r="F9" s="11">
        <v>6500</v>
      </c>
    </row>
    <row r="10" spans="1:7" hidden="1" x14ac:dyDescent="0.25">
      <c r="A10" s="12" t="s">
        <v>12</v>
      </c>
      <c r="B10" s="58"/>
      <c r="C10" s="58"/>
      <c r="D10" s="58">
        <v>0</v>
      </c>
      <c r="E10" s="13"/>
      <c r="F10" s="14"/>
      <c r="G10" s="89" t="s">
        <v>13</v>
      </c>
    </row>
    <row r="11" spans="1:7" x14ac:dyDescent="0.25">
      <c r="A11" s="9" t="s">
        <v>14</v>
      </c>
      <c r="B11" s="57">
        <v>2598</v>
      </c>
      <c r="C11" s="57">
        <v>2598</v>
      </c>
      <c r="D11" s="57">
        <f>184+424</f>
        <v>608</v>
      </c>
      <c r="E11" s="10">
        <f>2598*1.1</f>
        <v>2857.8</v>
      </c>
      <c r="F11" s="11">
        <f>2598*1.1</f>
        <v>2857.8</v>
      </c>
      <c r="G11" s="89" t="s">
        <v>15</v>
      </c>
    </row>
    <row r="12" spans="1:7" x14ac:dyDescent="0.25">
      <c r="A12" s="9" t="s">
        <v>16</v>
      </c>
      <c r="B12" s="57">
        <v>506</v>
      </c>
      <c r="C12" s="57">
        <v>642</v>
      </c>
      <c r="D12" s="57">
        <v>52</v>
      </c>
      <c r="E12" s="10">
        <f>506*1.1</f>
        <v>556.6</v>
      </c>
      <c r="F12" s="11">
        <f>E12*1.27</f>
        <v>706.88200000000006</v>
      </c>
      <c r="G12" s="89" t="s">
        <v>17</v>
      </c>
    </row>
    <row r="13" spans="1:7" hidden="1" x14ac:dyDescent="0.25">
      <c r="A13" s="12" t="s">
        <v>18</v>
      </c>
      <c r="B13" s="60">
        <v>423</v>
      </c>
      <c r="C13" s="60">
        <v>423</v>
      </c>
      <c r="D13" s="60"/>
      <c r="E13" s="16"/>
      <c r="F13" s="17"/>
    </row>
    <row r="14" spans="1:7" hidden="1" x14ac:dyDescent="0.25">
      <c r="A14" s="9" t="s">
        <v>19</v>
      </c>
      <c r="B14" s="57"/>
      <c r="C14" s="57"/>
      <c r="D14" s="57"/>
      <c r="E14" s="10"/>
      <c r="F14" s="11"/>
    </row>
    <row r="15" spans="1:7" hidden="1" x14ac:dyDescent="0.25">
      <c r="A15" s="9" t="s">
        <v>20</v>
      </c>
      <c r="B15" s="57">
        <v>1981</v>
      </c>
      <c r="C15" s="57">
        <v>2517</v>
      </c>
      <c r="D15" s="57"/>
      <c r="E15" s="10"/>
      <c r="F15" s="11"/>
    </row>
    <row r="16" spans="1:7" hidden="1" x14ac:dyDescent="0.25">
      <c r="A16" s="12" t="s">
        <v>21</v>
      </c>
      <c r="B16" s="60"/>
      <c r="C16" s="60"/>
      <c r="D16" s="60"/>
      <c r="E16" s="16"/>
      <c r="F16" s="17"/>
    </row>
    <row r="17" spans="1:9" hidden="1" x14ac:dyDescent="0.25">
      <c r="A17" s="12" t="s">
        <v>22</v>
      </c>
      <c r="B17" s="60"/>
      <c r="C17" s="60"/>
      <c r="D17" s="60"/>
      <c r="E17" s="16"/>
      <c r="F17" s="17"/>
    </row>
    <row r="18" spans="1:9" hidden="1" x14ac:dyDescent="0.25">
      <c r="A18" s="12" t="s">
        <v>23</v>
      </c>
      <c r="B18" s="60"/>
      <c r="C18" s="60"/>
      <c r="D18" s="60"/>
      <c r="E18" s="16"/>
      <c r="F18" s="17"/>
    </row>
    <row r="19" spans="1:9" hidden="1" x14ac:dyDescent="0.25">
      <c r="A19" s="12" t="s">
        <v>24</v>
      </c>
      <c r="B19" s="60"/>
      <c r="C19" s="60"/>
      <c r="D19" s="60"/>
      <c r="E19" s="16"/>
      <c r="F19" s="17"/>
    </row>
    <row r="20" spans="1:9" hidden="1" x14ac:dyDescent="0.25">
      <c r="A20" s="12" t="s">
        <v>25</v>
      </c>
      <c r="B20" s="60"/>
      <c r="C20" s="60"/>
      <c r="D20" s="60"/>
      <c r="E20" s="16"/>
      <c r="F20" s="17"/>
    </row>
    <row r="21" spans="1:9" x14ac:dyDescent="0.25">
      <c r="A21" s="6" t="s">
        <v>26</v>
      </c>
      <c r="B21" s="61">
        <f>SUM(B9:B12)</f>
        <v>7104</v>
      </c>
      <c r="C21" s="61">
        <f t="shared" ref="C21:E21" si="0">SUM(C9:C12)</f>
        <v>7240</v>
      </c>
      <c r="D21" s="61">
        <f t="shared" si="0"/>
        <v>7104</v>
      </c>
      <c r="E21" s="61">
        <f t="shared" si="0"/>
        <v>9914.4</v>
      </c>
      <c r="F21" s="118">
        <f t="shared" ref="F21" si="1">SUM(F9:F12)</f>
        <v>10064.681999999999</v>
      </c>
    </row>
    <row r="22" spans="1:9" x14ac:dyDescent="0.25">
      <c r="A22" s="6" t="s">
        <v>27</v>
      </c>
      <c r="B22" s="61"/>
      <c r="C22" s="61"/>
      <c r="D22" s="61"/>
      <c r="E22" s="18"/>
      <c r="F22" s="19"/>
    </row>
    <row r="23" spans="1:9" x14ac:dyDescent="0.25">
      <c r="A23" s="15" t="s">
        <v>28</v>
      </c>
      <c r="B23" s="59">
        <v>11880</v>
      </c>
      <c r="C23" s="59">
        <v>11880</v>
      </c>
      <c r="D23" s="57">
        <v>6356</v>
      </c>
      <c r="E23" s="10">
        <f>6365*1.25</f>
        <v>7956.25</v>
      </c>
      <c r="F23" s="11">
        <f>6365*1.25</f>
        <v>7956.25</v>
      </c>
    </row>
    <row r="24" spans="1:9" x14ac:dyDescent="0.25">
      <c r="A24" s="9" t="s">
        <v>29</v>
      </c>
      <c r="B24" s="57"/>
      <c r="C24" s="57"/>
      <c r="D24" s="57"/>
      <c r="E24" s="10">
        <f>5515*1.25</f>
        <v>6893.75</v>
      </c>
      <c r="F24" s="125">
        <f>5515*1.25</f>
        <v>6893.75</v>
      </c>
    </row>
    <row r="25" spans="1:9" ht="16.5" customHeight="1" x14ac:dyDescent="0.25">
      <c r="A25" s="9" t="s">
        <v>30</v>
      </c>
      <c r="B25" s="57"/>
      <c r="C25" s="57"/>
      <c r="D25" s="57">
        <v>5507</v>
      </c>
      <c r="E25" s="85">
        <v>6894</v>
      </c>
      <c r="F25" s="125">
        <v>6894</v>
      </c>
      <c r="G25" s="92" t="s">
        <v>31</v>
      </c>
      <c r="H25" s="1" t="s">
        <v>32</v>
      </c>
    </row>
    <row r="26" spans="1:9" x14ac:dyDescent="0.25">
      <c r="A26" s="15" t="s">
        <v>33</v>
      </c>
      <c r="B26" s="59">
        <v>3007</v>
      </c>
      <c r="C26" s="59">
        <v>3007</v>
      </c>
      <c r="D26" s="57">
        <v>1425</v>
      </c>
      <c r="E26" s="10">
        <f>3007*1.1</f>
        <v>3307.7000000000003</v>
      </c>
      <c r="F26" s="125">
        <f>3007*1.1</f>
        <v>3307.7000000000003</v>
      </c>
    </row>
    <row r="27" spans="1:9" x14ac:dyDescent="0.25">
      <c r="A27" s="9" t="s">
        <v>34</v>
      </c>
      <c r="B27" s="57">
        <v>1720</v>
      </c>
      <c r="C27" s="57">
        <v>1720</v>
      </c>
      <c r="D27" s="57">
        <v>1600</v>
      </c>
      <c r="E27" s="10">
        <v>1720</v>
      </c>
      <c r="F27" s="125">
        <v>1720</v>
      </c>
    </row>
    <row r="28" spans="1:9" x14ac:dyDescent="0.25">
      <c r="A28" s="20" t="s">
        <v>35</v>
      </c>
      <c r="B28" s="62">
        <v>0</v>
      </c>
      <c r="C28" s="62">
        <v>0</v>
      </c>
      <c r="D28" s="57">
        <v>0</v>
      </c>
      <c r="E28" s="10">
        <v>0</v>
      </c>
      <c r="F28" s="125">
        <v>0</v>
      </c>
    </row>
    <row r="29" spans="1:9" x14ac:dyDescent="0.25">
      <c r="A29" s="20" t="s">
        <v>36</v>
      </c>
      <c r="B29" s="62">
        <v>2691</v>
      </c>
      <c r="C29" s="62">
        <v>2691</v>
      </c>
      <c r="D29" s="57">
        <f>123+1170+222</f>
        <v>1515</v>
      </c>
      <c r="E29" s="10">
        <f>2691*1.1</f>
        <v>2960.1000000000004</v>
      </c>
      <c r="F29" s="125">
        <f>2691*1.1</f>
        <v>2960.1000000000004</v>
      </c>
      <c r="G29" s="89" t="s">
        <v>37</v>
      </c>
    </row>
    <row r="30" spans="1:9" x14ac:dyDescent="0.25">
      <c r="A30" s="9" t="s">
        <v>38</v>
      </c>
      <c r="B30" s="57">
        <v>1000</v>
      </c>
      <c r="C30" s="57">
        <v>1000</v>
      </c>
      <c r="D30" s="57">
        <v>224</v>
      </c>
      <c r="E30" s="10">
        <v>1200</v>
      </c>
      <c r="F30" s="11">
        <v>1200</v>
      </c>
    </row>
    <row r="31" spans="1:9" x14ac:dyDescent="0.25">
      <c r="A31" s="9" t="s">
        <v>39</v>
      </c>
      <c r="B31" s="57">
        <v>715</v>
      </c>
      <c r="C31" s="57">
        <v>715</v>
      </c>
      <c r="D31" s="57">
        <f>1252+9+43+183</f>
        <v>1487</v>
      </c>
      <c r="E31" s="10">
        <v>1400</v>
      </c>
      <c r="F31" s="11">
        <v>1400</v>
      </c>
      <c r="G31" s="89" t="s">
        <v>40</v>
      </c>
      <c r="I31" t="s">
        <v>171</v>
      </c>
    </row>
    <row r="32" spans="1:9" x14ac:dyDescent="0.25">
      <c r="A32" s="6" t="s">
        <v>41</v>
      </c>
      <c r="B32" s="61">
        <f t="shared" ref="B32:E32" si="2">SUM(B23:B31)</f>
        <v>21013</v>
      </c>
      <c r="C32" s="61">
        <f t="shared" si="2"/>
        <v>21013</v>
      </c>
      <c r="D32" s="61">
        <f t="shared" si="2"/>
        <v>18114</v>
      </c>
      <c r="E32" s="61">
        <f t="shared" si="2"/>
        <v>32331.800000000003</v>
      </c>
      <c r="F32" s="19">
        <f>SUM(F23:F31)</f>
        <v>32331.800000000003</v>
      </c>
    </row>
    <row r="33" spans="1:8" x14ac:dyDescent="0.25">
      <c r="A33" s="21" t="s">
        <v>42</v>
      </c>
      <c r="B33" s="63"/>
      <c r="C33" s="63"/>
      <c r="D33" s="64"/>
      <c r="E33" s="22"/>
      <c r="F33" s="23"/>
    </row>
    <row r="34" spans="1:8" x14ac:dyDescent="0.25">
      <c r="A34" s="15" t="s">
        <v>43</v>
      </c>
      <c r="B34" s="59">
        <v>348</v>
      </c>
      <c r="C34" s="59">
        <v>348</v>
      </c>
      <c r="D34" s="57"/>
      <c r="E34" s="10">
        <f>348*1.1</f>
        <v>382.8</v>
      </c>
      <c r="F34" s="11">
        <f>348*1.1</f>
        <v>382.8</v>
      </c>
    </row>
    <row r="35" spans="1:8" x14ac:dyDescent="0.25">
      <c r="A35" s="15" t="s">
        <v>44</v>
      </c>
      <c r="B35" s="59">
        <v>4343</v>
      </c>
      <c r="C35" s="59">
        <v>5515</v>
      </c>
      <c r="D35" s="57">
        <v>5377</v>
      </c>
      <c r="E35" s="10">
        <f>4343*1.1</f>
        <v>4777.3</v>
      </c>
      <c r="F35" s="11">
        <f>E35*1.27</f>
        <v>6067.1710000000003</v>
      </c>
      <c r="H35" s="1" t="s">
        <v>45</v>
      </c>
    </row>
    <row r="36" spans="1:8" s="84" customFormat="1" hidden="1" x14ac:dyDescent="0.25">
      <c r="A36" s="24" t="s">
        <v>46</v>
      </c>
      <c r="B36" s="68"/>
      <c r="C36" s="68"/>
      <c r="D36" s="58"/>
      <c r="E36" s="13"/>
      <c r="F36" s="14"/>
      <c r="G36" s="91"/>
      <c r="H36" s="88"/>
    </row>
    <row r="37" spans="1:8" x14ac:dyDescent="0.25">
      <c r="A37" s="21" t="s">
        <v>47</v>
      </c>
      <c r="B37" s="65">
        <f t="shared" ref="B37:F37" si="3">SUM(B34:B36)</f>
        <v>4691</v>
      </c>
      <c r="C37" s="65">
        <f t="shared" si="3"/>
        <v>5863</v>
      </c>
      <c r="D37" s="65">
        <f t="shared" si="3"/>
        <v>5377</v>
      </c>
      <c r="E37" s="65">
        <f t="shared" si="3"/>
        <v>5160.1000000000004</v>
      </c>
      <c r="F37" s="104">
        <f t="shared" si="3"/>
        <v>6449.9710000000005</v>
      </c>
    </row>
    <row r="38" spans="1:8" x14ac:dyDescent="0.25">
      <c r="A38" s="21" t="s">
        <v>48</v>
      </c>
      <c r="B38" s="65"/>
      <c r="C38" s="65"/>
      <c r="D38" s="61"/>
      <c r="E38" s="18"/>
      <c r="F38" s="19"/>
    </row>
    <row r="39" spans="1:8" x14ac:dyDescent="0.25">
      <c r="A39" s="15" t="s">
        <v>49</v>
      </c>
      <c r="B39" s="59">
        <v>4000</v>
      </c>
      <c r="C39" s="59">
        <v>4000</v>
      </c>
      <c r="D39" s="57">
        <v>3281</v>
      </c>
      <c r="E39" s="115">
        <v>4000</v>
      </c>
      <c r="F39" s="116">
        <v>4000</v>
      </c>
      <c r="G39" s="89" t="s">
        <v>37</v>
      </c>
      <c r="H39" s="1" t="s">
        <v>50</v>
      </c>
    </row>
    <row r="40" spans="1:8" x14ac:dyDescent="0.25">
      <c r="A40" s="15" t="s">
        <v>51</v>
      </c>
      <c r="B40" s="59">
        <v>4000</v>
      </c>
      <c r="C40" s="59">
        <v>4000</v>
      </c>
      <c r="D40" s="127"/>
      <c r="E40" s="10">
        <f>4000*1.2</f>
        <v>4800</v>
      </c>
      <c r="F40" s="11">
        <f>4000*1.2</f>
        <v>4800</v>
      </c>
    </row>
    <row r="41" spans="1:8" x14ac:dyDescent="0.25">
      <c r="A41" s="15" t="s">
        <v>52</v>
      </c>
      <c r="B41" s="59">
        <v>1768</v>
      </c>
      <c r="C41" s="59">
        <v>1768</v>
      </c>
      <c r="D41" s="57"/>
      <c r="E41" s="10">
        <f>450*4</f>
        <v>1800</v>
      </c>
      <c r="F41" s="11">
        <f>450*4</f>
        <v>1800</v>
      </c>
      <c r="H41" s="1" t="s">
        <v>53</v>
      </c>
    </row>
    <row r="42" spans="1:8" x14ac:dyDescent="0.25">
      <c r="A42" s="21" t="s">
        <v>54</v>
      </c>
      <c r="B42" s="65">
        <f>SUM(B39:B41)</f>
        <v>9768</v>
      </c>
      <c r="C42" s="65">
        <f t="shared" ref="C42:H42" si="4">SUM(C39:C41)</f>
        <v>9768</v>
      </c>
      <c r="D42" s="65">
        <f>SUM(D39:D41)</f>
        <v>3281</v>
      </c>
      <c r="E42" s="65">
        <f t="shared" si="4"/>
        <v>10600</v>
      </c>
      <c r="F42" s="128">
        <f t="shared" si="4"/>
        <v>10600</v>
      </c>
      <c r="G42">
        <f t="shared" si="4"/>
        <v>0</v>
      </c>
      <c r="H42">
        <f t="shared" si="4"/>
        <v>0</v>
      </c>
    </row>
    <row r="43" spans="1:8" x14ac:dyDescent="0.25">
      <c r="A43" s="21" t="s">
        <v>55</v>
      </c>
      <c r="B43" s="65"/>
      <c r="C43" s="65"/>
      <c r="D43" s="61"/>
      <c r="E43" s="18"/>
      <c r="F43" s="19"/>
    </row>
    <row r="44" spans="1:8" x14ac:dyDescent="0.25">
      <c r="A44" s="26" t="s">
        <v>38</v>
      </c>
      <c r="B44" s="66"/>
      <c r="C44" s="66"/>
      <c r="D44" s="57"/>
      <c r="E44" s="10"/>
      <c r="F44" s="11"/>
    </row>
    <row r="45" spans="1:8" x14ac:dyDescent="0.25">
      <c r="A45" s="114" t="s">
        <v>56</v>
      </c>
      <c r="B45" s="67">
        <v>2000</v>
      </c>
      <c r="C45" s="67">
        <v>2000</v>
      </c>
      <c r="D45" s="57"/>
      <c r="E45" s="10">
        <v>3000</v>
      </c>
      <c r="F45" s="11">
        <v>3000</v>
      </c>
      <c r="H45" s="1" t="s">
        <v>57</v>
      </c>
    </row>
    <row r="46" spans="1:8" x14ac:dyDescent="0.25">
      <c r="A46" s="114" t="s">
        <v>58</v>
      </c>
      <c r="B46" s="67">
        <v>13000</v>
      </c>
      <c r="C46" s="67">
        <v>13000</v>
      </c>
      <c r="D46" s="57">
        <v>34450</v>
      </c>
      <c r="E46" s="10">
        <v>12000</v>
      </c>
      <c r="F46" s="11">
        <v>12000</v>
      </c>
      <c r="H46" s="1" t="s">
        <v>59</v>
      </c>
    </row>
    <row r="47" spans="1:8" x14ac:dyDescent="0.25">
      <c r="A47" s="114" t="s">
        <v>60</v>
      </c>
      <c r="B47" s="67"/>
      <c r="C47" s="67"/>
      <c r="D47" s="57"/>
      <c r="E47" s="10"/>
      <c r="F47" s="11"/>
    </row>
    <row r="48" spans="1:8" x14ac:dyDescent="0.25">
      <c r="A48" s="9" t="s">
        <v>61</v>
      </c>
      <c r="B48" s="57">
        <v>2000</v>
      </c>
      <c r="C48" s="57">
        <v>2000</v>
      </c>
      <c r="D48" s="57"/>
      <c r="E48" s="10">
        <v>2000</v>
      </c>
      <c r="F48" s="11">
        <v>2000</v>
      </c>
    </row>
    <row r="49" spans="1:8" x14ac:dyDescent="0.25">
      <c r="A49" s="20" t="s">
        <v>62</v>
      </c>
      <c r="B49" s="62">
        <v>1000</v>
      </c>
      <c r="C49" s="62">
        <v>1000</v>
      </c>
      <c r="D49" s="57">
        <v>32</v>
      </c>
      <c r="E49" s="10">
        <f>2000</f>
        <v>2000</v>
      </c>
      <c r="F49" s="11">
        <v>2000</v>
      </c>
      <c r="G49" s="89" t="s">
        <v>63</v>
      </c>
    </row>
    <row r="50" spans="1:8" x14ac:dyDescent="0.25">
      <c r="A50" s="6" t="s">
        <v>64</v>
      </c>
      <c r="B50" s="61">
        <f>SUM(B44:B49)</f>
        <v>18000</v>
      </c>
      <c r="C50" s="61">
        <f t="shared" ref="C50:H50" si="5">SUM(C44:C49)</f>
        <v>18000</v>
      </c>
      <c r="D50" s="61">
        <f t="shared" si="5"/>
        <v>34482</v>
      </c>
      <c r="E50" s="61">
        <f t="shared" si="5"/>
        <v>19000</v>
      </c>
      <c r="F50" s="118">
        <f t="shared" si="5"/>
        <v>19000</v>
      </c>
      <c r="G50">
        <f t="shared" si="5"/>
        <v>0</v>
      </c>
      <c r="H50">
        <f t="shared" si="5"/>
        <v>0</v>
      </c>
    </row>
    <row r="51" spans="1:8" hidden="1" x14ac:dyDescent="0.25">
      <c r="A51" s="6" t="s">
        <v>65</v>
      </c>
      <c r="B51" s="61"/>
      <c r="C51" s="61"/>
      <c r="D51" s="61">
        <v>0</v>
      </c>
      <c r="E51" s="61"/>
      <c r="F51" s="118"/>
      <c r="G51" s="87" t="s">
        <v>66</v>
      </c>
    </row>
    <row r="52" spans="1:8" x14ac:dyDescent="0.25">
      <c r="A52" s="21" t="s">
        <v>67</v>
      </c>
      <c r="B52" s="65"/>
      <c r="C52" s="65"/>
      <c r="D52" s="61"/>
      <c r="E52" s="18"/>
      <c r="F52" s="19"/>
    </row>
    <row r="53" spans="1:8" x14ac:dyDescent="0.25">
      <c r="A53" s="9" t="s">
        <v>68</v>
      </c>
      <c r="B53" s="57">
        <v>1908</v>
      </c>
      <c r="C53" s="57">
        <v>1908</v>
      </c>
      <c r="D53" s="57">
        <v>1816</v>
      </c>
      <c r="E53" s="10">
        <f>1908*1.05</f>
        <v>2003.4</v>
      </c>
      <c r="F53" s="11">
        <f>1908*1.05</f>
        <v>2003.4</v>
      </c>
    </row>
    <row r="54" spans="1:8" x14ac:dyDescent="0.25">
      <c r="A54" s="9" t="s">
        <v>69</v>
      </c>
      <c r="B54" s="57">
        <v>696</v>
      </c>
      <c r="C54" s="57">
        <v>696</v>
      </c>
      <c r="D54" s="57">
        <v>708</v>
      </c>
      <c r="E54" s="10">
        <f>696*1.05</f>
        <v>730.80000000000007</v>
      </c>
      <c r="F54" s="11">
        <f>696*1.05</f>
        <v>730.80000000000007</v>
      </c>
    </row>
    <row r="55" spans="1:8" x14ac:dyDescent="0.25">
      <c r="A55" s="9" t="s">
        <v>70</v>
      </c>
      <c r="B55" s="57">
        <v>3407</v>
      </c>
      <c r="C55" s="57">
        <v>3407</v>
      </c>
      <c r="D55" s="57">
        <v>2668</v>
      </c>
      <c r="E55" s="85">
        <f>3407*1.1</f>
        <v>3747.7000000000003</v>
      </c>
      <c r="F55" s="86">
        <f>3407*1.1</f>
        <v>3747.7000000000003</v>
      </c>
      <c r="G55" s="92"/>
    </row>
    <row r="56" spans="1:8" x14ac:dyDescent="0.25">
      <c r="A56" s="21" t="s">
        <v>71</v>
      </c>
      <c r="B56" s="65">
        <f>SUM(B53:B55)</f>
        <v>6011</v>
      </c>
      <c r="C56" s="65">
        <f t="shared" ref="C56:E56" si="6">SUM(C53:C55)</f>
        <v>6011</v>
      </c>
      <c r="D56" s="65">
        <f t="shared" si="6"/>
        <v>5192</v>
      </c>
      <c r="E56" s="65">
        <f t="shared" si="6"/>
        <v>6481.9000000000005</v>
      </c>
      <c r="F56" s="104">
        <f t="shared" ref="F56" si="7">SUM(F53:F55)</f>
        <v>6481.9000000000005</v>
      </c>
    </row>
    <row r="57" spans="1:8" hidden="1" x14ac:dyDescent="0.25">
      <c r="A57" s="24" t="s">
        <v>72</v>
      </c>
      <c r="B57" s="68"/>
      <c r="C57" s="68"/>
      <c r="D57" s="58"/>
      <c r="E57" s="13"/>
      <c r="F57" s="14"/>
    </row>
    <row r="58" spans="1:8" hidden="1" x14ac:dyDescent="0.25">
      <c r="A58" s="24" t="s">
        <v>73</v>
      </c>
      <c r="B58" s="68"/>
      <c r="C58" s="68"/>
      <c r="D58" s="58"/>
      <c r="E58" s="13"/>
      <c r="F58" s="14"/>
    </row>
    <row r="59" spans="1:8" x14ac:dyDescent="0.25">
      <c r="A59" s="6" t="s">
        <v>74</v>
      </c>
      <c r="B59" s="105"/>
      <c r="C59" s="105"/>
      <c r="D59" s="105"/>
      <c r="E59" s="105"/>
      <c r="F59" s="106"/>
    </row>
    <row r="60" spans="1:8" x14ac:dyDescent="0.25">
      <c r="A60" s="47" t="s">
        <v>75</v>
      </c>
      <c r="B60" s="107"/>
      <c r="C60" s="107"/>
      <c r="D60" s="108">
        <v>3096</v>
      </c>
      <c r="E60" s="110">
        <v>1100</v>
      </c>
      <c r="F60" s="111">
        <v>1100</v>
      </c>
    </row>
    <row r="61" spans="1:8" x14ac:dyDescent="0.25">
      <c r="A61" s="102" t="s">
        <v>76</v>
      </c>
      <c r="B61" s="103">
        <v>3000</v>
      </c>
      <c r="C61" s="103">
        <v>3000</v>
      </c>
      <c r="D61" s="109">
        <v>4552</v>
      </c>
      <c r="E61" s="110">
        <f>3000*1.1</f>
        <v>3300.0000000000005</v>
      </c>
      <c r="F61" s="111">
        <f>3000*1.1</f>
        <v>3300.0000000000005</v>
      </c>
      <c r="H61" s="1" t="s">
        <v>77</v>
      </c>
    </row>
    <row r="62" spans="1:8" x14ac:dyDescent="0.25">
      <c r="A62" s="102" t="s">
        <v>78</v>
      </c>
      <c r="B62" s="103">
        <v>1800</v>
      </c>
      <c r="C62" s="103">
        <v>1800</v>
      </c>
      <c r="D62" s="109">
        <v>0</v>
      </c>
      <c r="E62" s="110">
        <f>2500+1800</f>
        <v>4300</v>
      </c>
      <c r="F62" s="111">
        <f>2500+1800</f>
        <v>4300</v>
      </c>
      <c r="H62" s="1" t="s">
        <v>77</v>
      </c>
    </row>
    <row r="63" spans="1:8" x14ac:dyDescent="0.25">
      <c r="A63" s="102" t="s">
        <v>79</v>
      </c>
      <c r="B63" s="103">
        <v>940</v>
      </c>
      <c r="C63" s="103">
        <v>940</v>
      </c>
      <c r="D63" s="109">
        <v>1134</v>
      </c>
      <c r="E63" s="110">
        <v>1900</v>
      </c>
      <c r="F63" s="111">
        <v>1900</v>
      </c>
      <c r="H63" s="1" t="s">
        <v>77</v>
      </c>
    </row>
    <row r="64" spans="1:8" x14ac:dyDescent="0.25">
      <c r="A64" s="102" t="s">
        <v>80</v>
      </c>
      <c r="B64" s="103"/>
      <c r="C64" s="103"/>
      <c r="D64" s="109">
        <v>218402</v>
      </c>
      <c r="E64" s="110">
        <v>56000</v>
      </c>
      <c r="F64" s="111">
        <v>56000</v>
      </c>
    </row>
    <row r="65" spans="1:8" x14ac:dyDescent="0.25">
      <c r="A65" s="9" t="s">
        <v>81</v>
      </c>
      <c r="B65" s="103"/>
      <c r="C65" s="103"/>
      <c r="D65" s="109">
        <v>97713</v>
      </c>
      <c r="E65" s="110"/>
      <c r="F65" s="111"/>
    </row>
    <row r="66" spans="1:8" x14ac:dyDescent="0.25">
      <c r="A66" s="9" t="s">
        <v>82</v>
      </c>
      <c r="B66" s="103">
        <v>1100</v>
      </c>
      <c r="C66" s="103">
        <v>1100</v>
      </c>
      <c r="D66" s="109">
        <v>1160</v>
      </c>
      <c r="E66" s="110">
        <f>1100*1.1</f>
        <v>1210</v>
      </c>
      <c r="F66" s="111">
        <f>1100*1.1</f>
        <v>1210</v>
      </c>
    </row>
    <row r="67" spans="1:8" ht="30" x14ac:dyDescent="0.25">
      <c r="A67" s="102" t="s">
        <v>83</v>
      </c>
      <c r="B67" s="103">
        <v>93740</v>
      </c>
      <c r="C67" s="103">
        <v>93740</v>
      </c>
      <c r="D67" s="109">
        <v>0</v>
      </c>
      <c r="E67" s="110">
        <v>202000</v>
      </c>
      <c r="F67" s="111">
        <v>202000</v>
      </c>
      <c r="G67" s="89" t="s">
        <v>84</v>
      </c>
      <c r="H67" s="1" t="s">
        <v>85</v>
      </c>
    </row>
    <row r="68" spans="1:8" x14ac:dyDescent="0.25">
      <c r="A68" s="6" t="s">
        <v>86</v>
      </c>
      <c r="B68" s="124">
        <f>SUM(B60:B67)</f>
        <v>100580</v>
      </c>
      <c r="C68" s="124">
        <f t="shared" ref="C68:E68" si="8">SUM(C60:C67)</f>
        <v>100580</v>
      </c>
      <c r="D68" s="124">
        <f t="shared" si="8"/>
        <v>326057</v>
      </c>
      <c r="E68" s="124">
        <f t="shared" si="8"/>
        <v>269810</v>
      </c>
      <c r="F68" s="34">
        <f t="shared" ref="F68" si="9">SUM(F60:F67)</f>
        <v>269810</v>
      </c>
    </row>
    <row r="69" spans="1:8" x14ac:dyDescent="0.25">
      <c r="A69" s="21" t="s">
        <v>87</v>
      </c>
      <c r="B69" s="65"/>
      <c r="C69" s="65"/>
      <c r="D69" s="61"/>
      <c r="E69" s="18"/>
      <c r="F69" s="19"/>
    </row>
    <row r="70" spans="1:8" ht="60" x14ac:dyDescent="0.25">
      <c r="A70" s="27" t="s">
        <v>88</v>
      </c>
      <c r="B70" s="69"/>
      <c r="C70" s="69"/>
      <c r="D70" s="69"/>
      <c r="E70" s="28"/>
      <c r="F70" s="29"/>
    </row>
    <row r="71" spans="1:8" ht="30" x14ac:dyDescent="0.25">
      <c r="A71" s="15" t="s">
        <v>89</v>
      </c>
      <c r="B71" s="59">
        <v>1067</v>
      </c>
      <c r="C71" s="59">
        <v>1377</v>
      </c>
      <c r="D71" s="57">
        <v>2902</v>
      </c>
      <c r="E71" s="10">
        <f>1067*1.1</f>
        <v>1173.7</v>
      </c>
      <c r="F71" s="11">
        <f>E71*1.27</f>
        <v>1490.5990000000002</v>
      </c>
    </row>
    <row r="72" spans="1:8" x14ac:dyDescent="0.25">
      <c r="A72" s="15" t="s">
        <v>90</v>
      </c>
      <c r="B72" s="59"/>
      <c r="C72" s="59"/>
      <c r="D72" s="57">
        <v>0</v>
      </c>
      <c r="E72" s="10"/>
      <c r="F72" s="11"/>
    </row>
    <row r="73" spans="1:8" x14ac:dyDescent="0.25">
      <c r="A73" s="15" t="s">
        <v>91</v>
      </c>
      <c r="B73" s="59">
        <v>30</v>
      </c>
      <c r="C73" s="59">
        <v>30</v>
      </c>
      <c r="D73" s="57">
        <v>127</v>
      </c>
      <c r="E73" s="10">
        <v>50</v>
      </c>
      <c r="F73" s="11">
        <v>50</v>
      </c>
    </row>
    <row r="74" spans="1:8" x14ac:dyDescent="0.25">
      <c r="A74" s="15" t="s">
        <v>92</v>
      </c>
      <c r="B74" s="59">
        <v>249</v>
      </c>
      <c r="C74" s="59">
        <v>315</v>
      </c>
      <c r="D74" s="57">
        <v>177</v>
      </c>
      <c r="E74" s="10">
        <f>249*1.1</f>
        <v>273.90000000000003</v>
      </c>
      <c r="F74" s="11">
        <f>E74*1.27</f>
        <v>347.85300000000007</v>
      </c>
    </row>
    <row r="75" spans="1:8" x14ac:dyDescent="0.25">
      <c r="A75" s="15" t="s">
        <v>93</v>
      </c>
      <c r="B75" s="59">
        <v>765</v>
      </c>
      <c r="C75" s="59">
        <v>971</v>
      </c>
      <c r="D75" s="57">
        <f>179-114</f>
        <v>65</v>
      </c>
      <c r="E75" s="10">
        <f>765*1.1</f>
        <v>841.50000000000011</v>
      </c>
      <c r="F75" s="11">
        <f>842*1.27</f>
        <v>1069.3399999999999</v>
      </c>
    </row>
    <row r="76" spans="1:8" x14ac:dyDescent="0.25">
      <c r="A76" s="15" t="s">
        <v>94</v>
      </c>
      <c r="B76" s="59">
        <v>5</v>
      </c>
      <c r="C76" s="59">
        <v>5</v>
      </c>
      <c r="D76" s="57"/>
      <c r="E76" s="10">
        <v>5</v>
      </c>
      <c r="F76" s="11">
        <v>5</v>
      </c>
    </row>
    <row r="77" spans="1:8" x14ac:dyDescent="0.25">
      <c r="A77" s="9" t="s">
        <v>95</v>
      </c>
      <c r="B77" s="57">
        <v>1040</v>
      </c>
      <c r="C77" s="57">
        <v>1040</v>
      </c>
      <c r="D77" s="57">
        <v>40</v>
      </c>
      <c r="E77" s="10">
        <v>1144</v>
      </c>
      <c r="F77" s="11">
        <f>1040*1.1</f>
        <v>1144</v>
      </c>
    </row>
    <row r="78" spans="1:8" x14ac:dyDescent="0.25">
      <c r="A78" s="9" t="s">
        <v>96</v>
      </c>
      <c r="B78" s="57">
        <v>287</v>
      </c>
      <c r="C78" s="57">
        <v>365</v>
      </c>
      <c r="D78" s="57"/>
      <c r="E78" s="10">
        <v>400</v>
      </c>
      <c r="F78" s="11">
        <f>400*1.27</f>
        <v>508</v>
      </c>
    </row>
    <row r="79" spans="1:8" x14ac:dyDescent="0.25">
      <c r="A79" s="9" t="s">
        <v>97</v>
      </c>
      <c r="B79" s="57">
        <v>400</v>
      </c>
      <c r="C79" s="57">
        <v>400</v>
      </c>
      <c r="D79" s="57">
        <v>0</v>
      </c>
      <c r="E79" s="10">
        <f>440</f>
        <v>440</v>
      </c>
      <c r="F79" s="11">
        <v>440</v>
      </c>
    </row>
    <row r="80" spans="1:8" x14ac:dyDescent="0.25">
      <c r="A80" s="9" t="s">
        <v>98</v>
      </c>
      <c r="B80" s="57">
        <v>240</v>
      </c>
      <c r="C80" s="57">
        <v>240</v>
      </c>
      <c r="D80" s="57">
        <v>285</v>
      </c>
      <c r="E80" s="10">
        <v>264</v>
      </c>
      <c r="F80" s="11">
        <f>240*1.1</f>
        <v>264</v>
      </c>
    </row>
    <row r="81" spans="1:13" x14ac:dyDescent="0.25">
      <c r="A81" s="9" t="s">
        <v>99</v>
      </c>
      <c r="B81" s="57"/>
      <c r="C81" s="57"/>
      <c r="D81" s="57">
        <v>0</v>
      </c>
      <c r="E81" s="10">
        <v>63500</v>
      </c>
      <c r="F81" s="11">
        <v>63500</v>
      </c>
      <c r="G81" s="87" t="s">
        <v>66</v>
      </c>
    </row>
    <row r="82" spans="1:13" x14ac:dyDescent="0.25">
      <c r="A82" s="9" t="s">
        <v>100</v>
      </c>
      <c r="B82" s="57">
        <v>300</v>
      </c>
      <c r="C82" s="57">
        <v>300</v>
      </c>
      <c r="D82" s="57">
        <v>0</v>
      </c>
      <c r="E82" s="10">
        <v>300</v>
      </c>
      <c r="F82" s="11">
        <v>300</v>
      </c>
    </row>
    <row r="83" spans="1:13" x14ac:dyDescent="0.25">
      <c r="A83" s="9" t="s">
        <v>101</v>
      </c>
      <c r="B83" s="57">
        <v>1000</v>
      </c>
      <c r="C83" s="57">
        <v>1270</v>
      </c>
      <c r="D83" s="57">
        <v>686</v>
      </c>
      <c r="E83" s="10">
        <v>1000</v>
      </c>
      <c r="F83" s="11">
        <v>1270</v>
      </c>
    </row>
    <row r="84" spans="1:13" x14ac:dyDescent="0.25">
      <c r="A84" s="9" t="s">
        <v>102</v>
      </c>
      <c r="B84" s="57"/>
      <c r="C84" s="57"/>
      <c r="D84" s="57">
        <f>412+4505</f>
        <v>4917</v>
      </c>
      <c r="E84" s="10"/>
      <c r="F84" s="11"/>
      <c r="G84" s="117"/>
      <c r="H84" s="1" t="s">
        <v>103</v>
      </c>
      <c r="I84" t="s">
        <v>168</v>
      </c>
    </row>
    <row r="85" spans="1:13" x14ac:dyDescent="0.25">
      <c r="A85" s="27" t="s">
        <v>104</v>
      </c>
      <c r="B85" s="70">
        <f>SUM(B71:B84)</f>
        <v>5383</v>
      </c>
      <c r="C85" s="70">
        <f t="shared" ref="C85:F85" si="10">SUM(C71:C84)</f>
        <v>6313</v>
      </c>
      <c r="D85" s="70">
        <f t="shared" si="10"/>
        <v>9199</v>
      </c>
      <c r="E85" s="70">
        <f t="shared" si="10"/>
        <v>69392.100000000006</v>
      </c>
      <c r="F85" s="129">
        <f t="shared" si="10"/>
        <v>70388.792000000001</v>
      </c>
      <c r="M85">
        <f>70389-63500</f>
        <v>6889</v>
      </c>
    </row>
    <row r="86" spans="1:13" x14ac:dyDescent="0.25">
      <c r="A86" s="27" t="s">
        <v>105</v>
      </c>
      <c r="B86" s="70"/>
      <c r="C86" s="70"/>
      <c r="D86" s="70"/>
      <c r="E86" s="30"/>
      <c r="F86" s="31"/>
    </row>
    <row r="87" spans="1:13" x14ac:dyDescent="0.25">
      <c r="A87" s="15" t="s">
        <v>106</v>
      </c>
      <c r="B87" s="59">
        <v>5940</v>
      </c>
      <c r="C87" s="59">
        <v>5940</v>
      </c>
      <c r="D87" s="57">
        <v>6181</v>
      </c>
      <c r="E87" s="10">
        <f>5940*1.1</f>
        <v>6534.0000000000009</v>
      </c>
      <c r="F87" s="11">
        <v>6534</v>
      </c>
      <c r="L87" s="94"/>
    </row>
    <row r="88" spans="1:13" x14ac:dyDescent="0.25">
      <c r="A88" s="15" t="s">
        <v>107</v>
      </c>
      <c r="B88" s="59">
        <v>3432</v>
      </c>
      <c r="C88" s="59">
        <v>3432</v>
      </c>
      <c r="D88" s="57">
        <v>3429</v>
      </c>
      <c r="E88" s="10">
        <v>3964</v>
      </c>
      <c r="F88" s="11">
        <v>3964</v>
      </c>
      <c r="L88" s="94"/>
    </row>
    <row r="89" spans="1:13" x14ac:dyDescent="0.25">
      <c r="A89" s="15" t="s">
        <v>159</v>
      </c>
      <c r="B89" s="59">
        <v>120</v>
      </c>
      <c r="C89" s="59">
        <v>120</v>
      </c>
      <c r="D89" s="57">
        <v>0</v>
      </c>
      <c r="E89" s="10">
        <v>0</v>
      </c>
      <c r="F89" s="11">
        <v>0</v>
      </c>
      <c r="H89" s="1" t="s">
        <v>108</v>
      </c>
      <c r="L89" s="94"/>
    </row>
    <row r="90" spans="1:13" x14ac:dyDescent="0.25">
      <c r="A90" s="15" t="s">
        <v>160</v>
      </c>
      <c r="B90" s="59">
        <v>2316</v>
      </c>
      <c r="C90" s="59">
        <v>2316</v>
      </c>
      <c r="D90" s="57">
        <v>1739</v>
      </c>
      <c r="E90" s="10">
        <f>215*12</f>
        <v>2580</v>
      </c>
      <c r="F90" s="11">
        <v>2580</v>
      </c>
      <c r="L90" s="94"/>
    </row>
    <row r="91" spans="1:13" x14ac:dyDescent="0.25">
      <c r="A91" s="15" t="s">
        <v>109</v>
      </c>
      <c r="B91" s="59">
        <v>688</v>
      </c>
      <c r="C91" s="59">
        <v>688</v>
      </c>
      <c r="D91" s="57">
        <v>352</v>
      </c>
      <c r="E91" s="10">
        <v>688</v>
      </c>
      <c r="F91" s="11">
        <v>688</v>
      </c>
      <c r="H91" s="1" t="s">
        <v>110</v>
      </c>
      <c r="L91" s="94"/>
    </row>
    <row r="92" spans="1:13" x14ac:dyDescent="0.25">
      <c r="A92" s="15" t="s">
        <v>166</v>
      </c>
      <c r="B92" s="59"/>
      <c r="C92" s="59"/>
      <c r="D92" s="57">
        <v>0</v>
      </c>
      <c r="E92" s="10">
        <v>3600</v>
      </c>
      <c r="F92" s="11">
        <v>3600</v>
      </c>
      <c r="L92" s="94"/>
    </row>
    <row r="93" spans="1:13" x14ac:dyDescent="0.25">
      <c r="A93" s="15" t="s">
        <v>161</v>
      </c>
      <c r="B93" s="59">
        <v>3248</v>
      </c>
      <c r="C93" s="59">
        <v>3248</v>
      </c>
      <c r="D93" s="57">
        <v>3248</v>
      </c>
      <c r="E93" s="10">
        <v>3751</v>
      </c>
      <c r="F93" s="11">
        <v>3751</v>
      </c>
      <c r="L93" s="94"/>
    </row>
    <row r="94" spans="1:13" x14ac:dyDescent="0.25">
      <c r="A94" s="15" t="s">
        <v>162</v>
      </c>
      <c r="B94" s="59">
        <v>3248</v>
      </c>
      <c r="C94" s="59">
        <v>3248</v>
      </c>
      <c r="D94" s="57">
        <v>2944</v>
      </c>
      <c r="E94" s="10">
        <v>3751</v>
      </c>
      <c r="F94" s="11">
        <v>3751</v>
      </c>
      <c r="L94" s="94"/>
    </row>
    <row r="95" spans="1:13" x14ac:dyDescent="0.25">
      <c r="A95" s="15" t="s">
        <v>163</v>
      </c>
      <c r="B95" s="59">
        <v>3248</v>
      </c>
      <c r="C95" s="59">
        <v>3248</v>
      </c>
      <c r="D95" s="57">
        <v>3248</v>
      </c>
      <c r="E95" s="10">
        <v>3751</v>
      </c>
      <c r="F95" s="11">
        <v>3751</v>
      </c>
      <c r="L95" s="94"/>
    </row>
    <row r="96" spans="1:13" x14ac:dyDescent="0.25">
      <c r="A96" s="15" t="s">
        <v>164</v>
      </c>
      <c r="B96" s="71">
        <v>3248</v>
      </c>
      <c r="C96" s="71">
        <v>3248</v>
      </c>
      <c r="D96" s="72">
        <v>3013</v>
      </c>
      <c r="E96" s="10">
        <v>3751</v>
      </c>
      <c r="F96" s="11">
        <v>3751</v>
      </c>
      <c r="L96" s="94"/>
    </row>
    <row r="97" spans="1:13" x14ac:dyDescent="0.25">
      <c r="A97" s="15" t="s">
        <v>165</v>
      </c>
      <c r="B97" s="59">
        <v>3248</v>
      </c>
      <c r="C97" s="59">
        <v>3248</v>
      </c>
      <c r="D97" s="57">
        <v>2894</v>
      </c>
      <c r="E97" s="10">
        <v>3751</v>
      </c>
      <c r="F97" s="11">
        <v>3751</v>
      </c>
      <c r="L97" s="94"/>
    </row>
    <row r="98" spans="1:13" x14ac:dyDescent="0.25">
      <c r="A98" s="15" t="s">
        <v>170</v>
      </c>
      <c r="B98" s="59"/>
      <c r="C98" s="59"/>
      <c r="D98" s="57"/>
      <c r="E98" s="10">
        <v>3500</v>
      </c>
      <c r="F98" s="11">
        <v>3500</v>
      </c>
      <c r="L98" s="94"/>
    </row>
    <row r="99" spans="1:13" x14ac:dyDescent="0.25">
      <c r="A99" s="15" t="s">
        <v>24</v>
      </c>
      <c r="B99" s="59">
        <v>4442</v>
      </c>
      <c r="C99" s="59">
        <v>4442</v>
      </c>
      <c r="D99" s="57">
        <v>4367</v>
      </c>
      <c r="E99" s="10">
        <f>4442*1.1</f>
        <v>4886.2000000000007</v>
      </c>
      <c r="F99" s="11">
        <v>4886</v>
      </c>
      <c r="G99" s="89" t="s">
        <v>111</v>
      </c>
      <c r="L99" s="94"/>
    </row>
    <row r="100" spans="1:13" x14ac:dyDescent="0.25">
      <c r="A100" s="15" t="s">
        <v>112</v>
      </c>
      <c r="B100" s="59"/>
      <c r="C100" s="59"/>
      <c r="D100" s="57"/>
      <c r="E100" s="10"/>
      <c r="F100" s="11"/>
      <c r="L100" s="94"/>
    </row>
    <row r="101" spans="1:13" x14ac:dyDescent="0.25">
      <c r="A101" s="15" t="s">
        <v>113</v>
      </c>
      <c r="B101" s="59">
        <v>1125</v>
      </c>
      <c r="C101" s="59">
        <v>1125</v>
      </c>
      <c r="D101" s="57">
        <v>1268</v>
      </c>
      <c r="E101" s="10">
        <v>1225</v>
      </c>
      <c r="F101" s="11">
        <v>1225</v>
      </c>
      <c r="L101" s="94"/>
    </row>
    <row r="102" spans="1:13" x14ac:dyDescent="0.25">
      <c r="A102" s="15" t="s">
        <v>25</v>
      </c>
      <c r="B102" s="59">
        <v>5500</v>
      </c>
      <c r="C102" s="59">
        <v>5500</v>
      </c>
      <c r="D102" s="57">
        <v>5542</v>
      </c>
      <c r="E102" s="10">
        <f>(E101+E99+E98+E97+E96+E95+E94+E93+E92+E91+E90+E88+E87)*13%</f>
        <v>5945.1859999999997</v>
      </c>
      <c r="F102" s="11">
        <f>(F101+F99+F98+F97+F96+F95+F94+F93+F92+F91+F90+F88+F87)*13%</f>
        <v>5945.16</v>
      </c>
    </row>
    <row r="103" spans="1:13" x14ac:dyDescent="0.25">
      <c r="A103" s="15" t="s">
        <v>114</v>
      </c>
      <c r="B103" s="59">
        <v>374</v>
      </c>
      <c r="C103" s="59">
        <v>374</v>
      </c>
      <c r="D103" s="57">
        <v>288</v>
      </c>
      <c r="E103" s="10">
        <v>374</v>
      </c>
      <c r="F103" s="11">
        <v>374</v>
      </c>
    </row>
    <row r="104" spans="1:13" x14ac:dyDescent="0.25">
      <c r="A104" s="112" t="s">
        <v>115</v>
      </c>
      <c r="B104" s="59"/>
      <c r="C104" s="59"/>
      <c r="D104" s="57">
        <f>D105+D106+D107</f>
        <v>2484</v>
      </c>
      <c r="E104" s="113">
        <f>E105+E106+E107</f>
        <v>2484</v>
      </c>
      <c r="F104" s="119">
        <f>F105+F106+F107</f>
        <v>2484</v>
      </c>
    </row>
    <row r="105" spans="1:13" x14ac:dyDescent="0.25">
      <c r="A105" s="15" t="s">
        <v>116</v>
      </c>
      <c r="B105" s="59">
        <v>1380</v>
      </c>
      <c r="C105" s="59">
        <v>1380</v>
      </c>
      <c r="D105" s="57">
        <v>1374</v>
      </c>
      <c r="E105" s="10">
        <f>115*12</f>
        <v>1380</v>
      </c>
      <c r="F105" s="11">
        <v>1380</v>
      </c>
    </row>
    <row r="106" spans="1:13" x14ac:dyDescent="0.25">
      <c r="A106" s="15" t="s">
        <v>117</v>
      </c>
      <c r="B106" s="59">
        <v>552</v>
      </c>
      <c r="C106" s="59">
        <v>552</v>
      </c>
      <c r="D106" s="57">
        <v>555</v>
      </c>
      <c r="E106" s="10">
        <f>46*12</f>
        <v>552</v>
      </c>
      <c r="F106" s="11">
        <v>552</v>
      </c>
    </row>
    <row r="107" spans="1:13" x14ac:dyDescent="0.25">
      <c r="A107" s="15" t="s">
        <v>118</v>
      </c>
      <c r="B107" s="59">
        <v>552</v>
      </c>
      <c r="C107" s="59">
        <v>552</v>
      </c>
      <c r="D107" s="57">
        <v>555</v>
      </c>
      <c r="E107" s="10">
        <v>552</v>
      </c>
      <c r="F107" s="11">
        <v>552</v>
      </c>
    </row>
    <row r="108" spans="1:13" x14ac:dyDescent="0.25">
      <c r="A108" s="27" t="s">
        <v>119</v>
      </c>
      <c r="B108" s="70">
        <f>SUM(B87:B107)</f>
        <v>42661</v>
      </c>
      <c r="C108" s="70">
        <f t="shared" ref="C108:E108" si="11">SUM(C87:C107)</f>
        <v>42661</v>
      </c>
      <c r="D108" s="70">
        <f t="shared" si="11"/>
        <v>43481</v>
      </c>
      <c r="E108" s="70">
        <f t="shared" si="11"/>
        <v>57019.385999999999</v>
      </c>
      <c r="F108" s="129">
        <f>SUM(F87:F107)</f>
        <v>57019.16</v>
      </c>
      <c r="M108" s="94">
        <f>F108+M85</f>
        <v>63908.160000000003</v>
      </c>
    </row>
    <row r="109" spans="1:13" x14ac:dyDescent="0.25">
      <c r="A109" s="27" t="s">
        <v>120</v>
      </c>
      <c r="B109" s="70"/>
      <c r="C109" s="70"/>
      <c r="D109" s="70"/>
      <c r="E109" s="30"/>
      <c r="F109" s="31"/>
    </row>
    <row r="110" spans="1:13" x14ac:dyDescent="0.25">
      <c r="A110" s="15" t="s">
        <v>121</v>
      </c>
      <c r="B110" s="59">
        <v>1950</v>
      </c>
      <c r="C110" s="59">
        <v>1950</v>
      </c>
      <c r="D110" s="57">
        <v>1775</v>
      </c>
      <c r="E110" s="10">
        <f>1950*1.1</f>
        <v>2145</v>
      </c>
      <c r="F110" s="11">
        <v>2145</v>
      </c>
    </row>
    <row r="111" spans="1:13" x14ac:dyDescent="0.25">
      <c r="A111" s="15" t="s">
        <v>122</v>
      </c>
      <c r="B111" s="59">
        <v>250</v>
      </c>
      <c r="C111" s="59">
        <v>315</v>
      </c>
      <c r="D111" s="57">
        <v>250</v>
      </c>
      <c r="E111" s="85">
        <f>250*1.1</f>
        <v>275</v>
      </c>
      <c r="F111" s="86">
        <f>275*1.27</f>
        <v>349.25</v>
      </c>
      <c r="G111" s="92"/>
    </row>
    <row r="112" spans="1:13" x14ac:dyDescent="0.25">
      <c r="A112" s="15" t="s">
        <v>123</v>
      </c>
      <c r="B112" s="59">
        <v>1950</v>
      </c>
      <c r="C112" s="59">
        <v>1950</v>
      </c>
      <c r="D112" s="57">
        <v>1750</v>
      </c>
      <c r="E112" s="10">
        <v>2145</v>
      </c>
      <c r="F112" s="11">
        <f>1950*1.1</f>
        <v>2145</v>
      </c>
    </row>
    <row r="113" spans="1:13" x14ac:dyDescent="0.25">
      <c r="A113" s="9" t="s">
        <v>124</v>
      </c>
      <c r="B113" s="57">
        <v>108</v>
      </c>
      <c r="C113" s="57">
        <v>137</v>
      </c>
      <c r="D113" s="57">
        <v>114</v>
      </c>
      <c r="E113" s="10">
        <f>9*12</f>
        <v>108</v>
      </c>
      <c r="F113" s="11">
        <f>E113*1.27</f>
        <v>137.16</v>
      </c>
    </row>
    <row r="114" spans="1:13" x14ac:dyDescent="0.25">
      <c r="A114" s="15" t="s">
        <v>125</v>
      </c>
      <c r="B114" s="59">
        <v>60</v>
      </c>
      <c r="C114" s="59">
        <v>60</v>
      </c>
      <c r="D114" s="57"/>
      <c r="E114" s="10">
        <v>70</v>
      </c>
      <c r="F114" s="11">
        <v>70</v>
      </c>
    </row>
    <row r="115" spans="1:13" x14ac:dyDescent="0.25">
      <c r="A115" s="9" t="s">
        <v>126</v>
      </c>
      <c r="B115" s="57">
        <v>60</v>
      </c>
      <c r="C115" s="57">
        <v>60</v>
      </c>
      <c r="D115" s="57"/>
      <c r="E115" s="10">
        <v>70</v>
      </c>
      <c r="F115" s="11">
        <v>70</v>
      </c>
    </row>
    <row r="116" spans="1:13" x14ac:dyDescent="0.25">
      <c r="A116" s="15" t="s">
        <v>127</v>
      </c>
      <c r="B116" s="59">
        <v>0</v>
      </c>
      <c r="C116" s="59">
        <v>0</v>
      </c>
      <c r="D116" s="57"/>
      <c r="E116" s="10"/>
      <c r="F116" s="11"/>
    </row>
    <row r="117" spans="1:13" x14ac:dyDescent="0.25">
      <c r="A117" s="27" t="s">
        <v>128</v>
      </c>
      <c r="B117" s="70">
        <f>SUM(B110:B116)</f>
        <v>4378</v>
      </c>
      <c r="C117" s="70">
        <f t="shared" ref="C117:F117" si="12">SUM(C110:C116)</f>
        <v>4472</v>
      </c>
      <c r="D117" s="70">
        <f t="shared" si="12"/>
        <v>3889</v>
      </c>
      <c r="E117" s="70">
        <f>SUM(E110:E116)</f>
        <v>4813</v>
      </c>
      <c r="F117" s="129">
        <f t="shared" si="12"/>
        <v>4916.41</v>
      </c>
      <c r="M117" s="94">
        <f>F117+M108</f>
        <v>68824.570000000007</v>
      </c>
    </row>
    <row r="118" spans="1:13" x14ac:dyDescent="0.25">
      <c r="A118" s="21" t="s">
        <v>87</v>
      </c>
      <c r="B118" s="65">
        <f t="shared" ref="B118:C118" si="13">B117+B108+B85</f>
        <v>52422</v>
      </c>
      <c r="C118" s="65">
        <f t="shared" si="13"/>
        <v>53446</v>
      </c>
      <c r="D118" s="65">
        <f>D117+D108+D85</f>
        <v>56569</v>
      </c>
      <c r="E118" s="25">
        <f>E117+E108+E85</f>
        <v>131224.486</v>
      </c>
      <c r="F118" s="104">
        <f>F117+F108+F85</f>
        <v>132324.36200000002</v>
      </c>
    </row>
    <row r="119" spans="1:13" x14ac:dyDescent="0.25">
      <c r="A119" s="21" t="s">
        <v>129</v>
      </c>
      <c r="B119" s="65"/>
      <c r="C119" s="65"/>
      <c r="D119" s="65"/>
      <c r="E119" s="25">
        <v>6000</v>
      </c>
      <c r="F119" s="104">
        <v>6000</v>
      </c>
    </row>
    <row r="120" spans="1:13" ht="16.5" thickBot="1" x14ac:dyDescent="0.3">
      <c r="A120" s="32" t="s">
        <v>130</v>
      </c>
      <c r="B120" s="73">
        <f t="shared" ref="B120:C120" si="14">B118+B56+B50+B42+B37+B32+B51+B21+B68</f>
        <v>219589</v>
      </c>
      <c r="C120" s="73">
        <f t="shared" si="14"/>
        <v>221921</v>
      </c>
      <c r="D120" s="73">
        <f>D118+D56+D50+D42+D37+D32+D51+D21+D68</f>
        <v>456176</v>
      </c>
      <c r="E120" s="73">
        <f>E118+E56+E50+E42+E37+E32+E51+E21+E68+E119</f>
        <v>490522.68599999999</v>
      </c>
      <c r="F120" s="130">
        <f>F118+F56+F50+F42+F37+F32+F51+F21+F68+F119</f>
        <v>493062.71499999997</v>
      </c>
      <c r="K120" s="94"/>
    </row>
    <row r="121" spans="1:13" x14ac:dyDescent="0.25">
      <c r="B121" s="94"/>
      <c r="C121" s="94"/>
    </row>
    <row r="123" spans="1:13" ht="15.75" thickBot="1" x14ac:dyDescent="0.3"/>
    <row r="124" spans="1:13" x14ac:dyDescent="0.25">
      <c r="A124" s="131" t="s">
        <v>131</v>
      </c>
      <c r="B124" s="133" t="s">
        <v>169</v>
      </c>
      <c r="C124" s="133"/>
      <c r="D124" s="123" t="s">
        <v>167</v>
      </c>
      <c r="E124" s="134" t="s">
        <v>1</v>
      </c>
      <c r="F124" s="135"/>
      <c r="G124" s="93"/>
    </row>
    <row r="125" spans="1:13" x14ac:dyDescent="0.25">
      <c r="A125" s="132"/>
      <c r="B125" s="52" t="s">
        <v>3</v>
      </c>
      <c r="C125" s="53" t="s">
        <v>4</v>
      </c>
      <c r="D125" s="54" t="s">
        <v>3</v>
      </c>
      <c r="E125" s="4" t="s">
        <v>3</v>
      </c>
      <c r="F125" s="5" t="s">
        <v>4</v>
      </c>
    </row>
    <row r="126" spans="1:13" x14ac:dyDescent="0.25">
      <c r="A126" s="6" t="s">
        <v>5</v>
      </c>
      <c r="B126" s="74">
        <v>308</v>
      </c>
      <c r="C126" s="74"/>
      <c r="D126" s="74">
        <v>55</v>
      </c>
      <c r="E126" s="33"/>
      <c r="F126" s="34"/>
    </row>
    <row r="127" spans="1:13" hidden="1" x14ac:dyDescent="0.25">
      <c r="A127" s="12" t="s">
        <v>132</v>
      </c>
      <c r="B127" s="75"/>
      <c r="C127" s="75"/>
      <c r="D127" s="75"/>
      <c r="E127" s="35"/>
      <c r="F127" s="36"/>
    </row>
    <row r="128" spans="1:13" ht="30" hidden="1" x14ac:dyDescent="0.25">
      <c r="A128" s="12" t="s">
        <v>133</v>
      </c>
      <c r="B128" s="75">
        <v>4643</v>
      </c>
      <c r="C128" s="75">
        <v>5897</v>
      </c>
      <c r="D128" s="75">
        <v>0</v>
      </c>
      <c r="E128" s="35"/>
      <c r="F128" s="36"/>
      <c r="G128" s="89" t="s">
        <v>134</v>
      </c>
    </row>
    <row r="129" spans="1:8" ht="16.5" hidden="1" customHeight="1" x14ac:dyDescent="0.25">
      <c r="A129" s="37" t="s">
        <v>135</v>
      </c>
      <c r="B129" s="76"/>
      <c r="C129" s="76"/>
      <c r="D129" s="76">
        <v>0</v>
      </c>
      <c r="E129" s="38">
        <v>557</v>
      </c>
      <c r="F129" s="39">
        <v>707</v>
      </c>
      <c r="G129" s="89" t="s">
        <v>136</v>
      </c>
    </row>
    <row r="130" spans="1:8" x14ac:dyDescent="0.25">
      <c r="A130" s="6" t="s">
        <v>137</v>
      </c>
      <c r="B130" s="74">
        <v>308</v>
      </c>
      <c r="C130" s="74">
        <v>5897</v>
      </c>
      <c r="D130" s="74">
        <v>55</v>
      </c>
      <c r="E130" s="33">
        <f>SUM(E127:E129)</f>
        <v>557</v>
      </c>
      <c r="F130" s="34">
        <f>SUM(F127:F129)</f>
        <v>707</v>
      </c>
    </row>
    <row r="131" spans="1:8" x14ac:dyDescent="0.25">
      <c r="A131" s="6" t="s">
        <v>138</v>
      </c>
      <c r="B131" s="74"/>
      <c r="C131" s="74"/>
      <c r="D131" s="74">
        <v>0</v>
      </c>
      <c r="E131" s="74"/>
      <c r="F131" s="120"/>
      <c r="G131" s="87" t="s">
        <v>66</v>
      </c>
    </row>
    <row r="132" spans="1:8" x14ac:dyDescent="0.25">
      <c r="A132" s="6" t="s">
        <v>139</v>
      </c>
      <c r="B132" s="74">
        <v>1890</v>
      </c>
      <c r="C132" s="74">
        <v>2400</v>
      </c>
      <c r="D132" s="74">
        <v>5377</v>
      </c>
      <c r="E132" s="33">
        <v>5160</v>
      </c>
      <c r="F132" s="34">
        <v>6450</v>
      </c>
      <c r="H132" s="1" t="s">
        <v>140</v>
      </c>
    </row>
    <row r="133" spans="1:8" x14ac:dyDescent="0.25">
      <c r="A133" s="6" t="s">
        <v>141</v>
      </c>
      <c r="B133" s="74"/>
      <c r="C133" s="74"/>
      <c r="D133" s="74"/>
      <c r="E133" s="33"/>
      <c r="F133" s="34"/>
    </row>
    <row r="134" spans="1:8" ht="30" x14ac:dyDescent="0.25">
      <c r="A134" s="21" t="s">
        <v>142</v>
      </c>
      <c r="B134" s="74"/>
      <c r="C134" s="74"/>
      <c r="D134" s="74"/>
      <c r="E134" s="33"/>
      <c r="F134" s="34"/>
    </row>
    <row r="135" spans="1:8" x14ac:dyDescent="0.25">
      <c r="A135" s="40" t="s">
        <v>143</v>
      </c>
      <c r="B135" s="77">
        <f>SUM(B136:B141)</f>
        <v>61511</v>
      </c>
      <c r="C135" s="77">
        <f t="shared" ref="C135:D135" si="15">SUM(C136:C141)</f>
        <v>0</v>
      </c>
      <c r="D135" s="77">
        <f t="shared" si="15"/>
        <v>23949</v>
      </c>
      <c r="E135" s="41">
        <f>SUM(E136:E141)</f>
        <v>77772</v>
      </c>
      <c r="F135" s="42">
        <f>SUM(F136:F141)</f>
        <v>77772</v>
      </c>
    </row>
    <row r="136" spans="1:8" x14ac:dyDescent="0.25">
      <c r="A136" s="95" t="s">
        <v>144</v>
      </c>
      <c r="B136" s="78">
        <v>4000</v>
      </c>
      <c r="C136" s="78"/>
      <c r="D136" s="79"/>
      <c r="E136" s="43">
        <v>6500</v>
      </c>
      <c r="F136" s="44">
        <v>6500</v>
      </c>
    </row>
    <row r="137" spans="1:8" x14ac:dyDescent="0.25">
      <c r="A137" s="95" t="s">
        <v>145</v>
      </c>
      <c r="B137" s="78">
        <v>2700</v>
      </c>
      <c r="C137" s="78"/>
      <c r="D137" s="79"/>
      <c r="E137" s="43">
        <v>2858</v>
      </c>
      <c r="F137" s="44">
        <v>2858</v>
      </c>
      <c r="G137" s="89" t="s">
        <v>15</v>
      </c>
    </row>
    <row r="138" spans="1:8" x14ac:dyDescent="0.25">
      <c r="A138" s="96" t="s">
        <v>146</v>
      </c>
      <c r="B138" s="80">
        <v>9800</v>
      </c>
      <c r="C138" s="80"/>
      <c r="D138" s="80">
        <v>0</v>
      </c>
      <c r="E138" s="45">
        <v>10600</v>
      </c>
      <c r="F138" s="46">
        <v>10600</v>
      </c>
    </row>
    <row r="139" spans="1:8" x14ac:dyDescent="0.25">
      <c r="A139" s="96" t="s">
        <v>147</v>
      </c>
      <c r="B139" s="80">
        <v>21000</v>
      </c>
      <c r="C139" s="80"/>
      <c r="D139" s="80"/>
      <c r="E139" s="45">
        <f>32332</f>
        <v>32332</v>
      </c>
      <c r="F139" s="46">
        <v>32332</v>
      </c>
    </row>
    <row r="140" spans="1:8" x14ac:dyDescent="0.25">
      <c r="A140" s="96" t="s">
        <v>148</v>
      </c>
      <c r="B140" s="80">
        <v>18000</v>
      </c>
      <c r="C140" s="80"/>
      <c r="D140" s="80">
        <v>23949</v>
      </c>
      <c r="E140" s="45">
        <v>19000</v>
      </c>
      <c r="F140" s="46">
        <v>19000</v>
      </c>
    </row>
    <row r="141" spans="1:8" x14ac:dyDescent="0.25">
      <c r="A141" s="96" t="s">
        <v>149</v>
      </c>
      <c r="B141" s="80">
        <v>6011</v>
      </c>
      <c r="C141" s="80"/>
      <c r="D141" s="80"/>
      <c r="E141" s="99">
        <v>6482</v>
      </c>
      <c r="F141" s="100">
        <v>6482</v>
      </c>
      <c r="G141" s="92"/>
    </row>
    <row r="142" spans="1:8" ht="21.75" customHeight="1" x14ac:dyDescent="0.25">
      <c r="A142" s="40" t="s">
        <v>150</v>
      </c>
      <c r="B142" s="81">
        <v>7100</v>
      </c>
      <c r="C142" s="81"/>
      <c r="D142" s="101">
        <f>327788+72000</f>
        <v>399788</v>
      </c>
      <c r="E142" s="101">
        <f>63500+213810</f>
        <v>277310</v>
      </c>
      <c r="F142" s="126">
        <f>63500+213810</f>
        <v>277310</v>
      </c>
      <c r="G142" s="87" t="s">
        <v>151</v>
      </c>
    </row>
    <row r="143" spans="1:8" x14ac:dyDescent="0.25">
      <c r="A143" s="40" t="s">
        <v>152</v>
      </c>
      <c r="B143" s="81">
        <v>55000</v>
      </c>
      <c r="C143" s="81"/>
      <c r="D143" s="101">
        <f>123611-23949-5377</f>
        <v>94285</v>
      </c>
      <c r="E143" s="97">
        <f>E117+E108+E85-63500-9928</f>
        <v>57796.486000000004</v>
      </c>
      <c r="F143" s="98">
        <f>M117-9928</f>
        <v>58896.570000000007</v>
      </c>
    </row>
    <row r="144" spans="1:8" x14ac:dyDescent="0.25">
      <c r="A144" s="40" t="s">
        <v>172</v>
      </c>
      <c r="B144" s="81"/>
      <c r="C144" s="81"/>
      <c r="D144" s="101"/>
      <c r="E144" s="97">
        <v>6000</v>
      </c>
      <c r="F144" s="98">
        <v>6000</v>
      </c>
    </row>
    <row r="145" spans="1:12" x14ac:dyDescent="0.25">
      <c r="A145" s="6" t="s">
        <v>153</v>
      </c>
      <c r="B145" s="74">
        <f>B143+B142+B135</f>
        <v>123611</v>
      </c>
      <c r="C145" s="74">
        <v>70000</v>
      </c>
      <c r="D145" s="74">
        <f>D143+D142+D135</f>
        <v>518022</v>
      </c>
      <c r="E145" s="33">
        <f>E143+E142+E135+E144</f>
        <v>418878.48600000003</v>
      </c>
      <c r="F145" s="34">
        <f>F143+F142+F135+F144</f>
        <v>419978.57</v>
      </c>
    </row>
    <row r="146" spans="1:12" x14ac:dyDescent="0.25">
      <c r="A146" s="6" t="s">
        <v>154</v>
      </c>
      <c r="B146" s="74"/>
      <c r="C146" s="74"/>
      <c r="D146" s="74"/>
      <c r="E146" s="33"/>
      <c r="F146" s="34"/>
    </row>
    <row r="147" spans="1:12" x14ac:dyDescent="0.25">
      <c r="A147" s="47" t="s">
        <v>155</v>
      </c>
      <c r="B147" s="82">
        <v>1605</v>
      </c>
      <c r="C147" s="82">
        <v>10530</v>
      </c>
      <c r="D147" s="82">
        <v>1605</v>
      </c>
      <c r="E147" s="121">
        <f>19760+9928+36241</f>
        <v>65929</v>
      </c>
      <c r="F147" s="122">
        <f>19760+9928+36241</f>
        <v>65929</v>
      </c>
    </row>
    <row r="148" spans="1:12" x14ac:dyDescent="0.25">
      <c r="A148" s="47" t="s">
        <v>156</v>
      </c>
      <c r="B148" s="82">
        <v>93740</v>
      </c>
      <c r="C148" s="82"/>
      <c r="D148" s="82">
        <v>0</v>
      </c>
      <c r="E148" s="121">
        <v>0</v>
      </c>
      <c r="F148" s="122">
        <v>0</v>
      </c>
      <c r="G148" s="89" t="s">
        <v>157</v>
      </c>
    </row>
    <row r="149" spans="1:12" x14ac:dyDescent="0.25">
      <c r="A149" s="47" t="s">
        <v>158</v>
      </c>
      <c r="B149" s="82">
        <v>1000</v>
      </c>
      <c r="C149" s="82"/>
      <c r="D149" s="82">
        <v>1000</v>
      </c>
      <c r="E149" s="121">
        <v>1000</v>
      </c>
      <c r="F149" s="122">
        <v>1000</v>
      </c>
    </row>
    <row r="150" spans="1:12" x14ac:dyDescent="0.25">
      <c r="A150" s="6" t="s">
        <v>154</v>
      </c>
      <c r="B150" s="74">
        <v>96345</v>
      </c>
      <c r="C150" s="74">
        <v>10530</v>
      </c>
      <c r="D150" s="74">
        <v>2605</v>
      </c>
      <c r="E150" s="74">
        <f t="shared" ref="E150:F150" si="16">SUM(E147:E149)</f>
        <v>66929</v>
      </c>
      <c r="F150" s="120">
        <f t="shared" si="16"/>
        <v>66929</v>
      </c>
    </row>
    <row r="151" spans="1:12" ht="15.75" thickBot="1" x14ac:dyDescent="0.3">
      <c r="A151" s="48" t="s">
        <v>130</v>
      </c>
      <c r="B151" s="83">
        <f>B150+B145+B132+B130</f>
        <v>222154</v>
      </c>
      <c r="C151" s="83">
        <f>C150+C145+C132</f>
        <v>82930</v>
      </c>
      <c r="D151" s="83">
        <f>D150+D145+D133+D132+D131+D129+D130</f>
        <v>526059</v>
      </c>
      <c r="E151" s="49">
        <f>E150+E145+E133+E132+E131+E130</f>
        <v>491524.48600000003</v>
      </c>
      <c r="F151" s="50">
        <f>F150+F145+F133+F132+F131+F130</f>
        <v>494064.57</v>
      </c>
      <c r="K151" s="94"/>
      <c r="L151" s="94"/>
    </row>
  </sheetData>
  <sheetProtection insertRows="0" selectLockedCells="1"/>
  <mergeCells count="6">
    <mergeCell ref="A2:A3"/>
    <mergeCell ref="B2:C2"/>
    <mergeCell ref="E2:F2"/>
    <mergeCell ref="A124:A125"/>
    <mergeCell ref="E124:F124"/>
    <mergeCell ref="B124:C12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&amp;LSzadaNova Nonprofit Kft&amp;CÜzleti Terv
2022&amp;Radatok e Ft-ban</oddHeader>
  </headerFooter>
  <rowBreaks count="2" manualBreakCount="2">
    <brk id="68" max="16383" man="1"/>
    <brk id="122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Kriszti</dc:creator>
  <cp:keywords/>
  <dc:description/>
  <cp:lastModifiedBy>Dr. Filó-Szentes Kinga</cp:lastModifiedBy>
  <cp:revision/>
  <cp:lastPrinted>2022-02-28T09:33:38Z</cp:lastPrinted>
  <dcterms:created xsi:type="dcterms:W3CDTF">2021-01-15T15:04:27Z</dcterms:created>
  <dcterms:modified xsi:type="dcterms:W3CDTF">2022-02-28T13:12:51Z</dcterms:modified>
  <cp:category/>
  <cp:contentStatus/>
</cp:coreProperties>
</file>