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84" activeTab="14"/>
  </bookViews>
  <sheets>
    <sheet name="1. mell" sheetId="1" r:id="rId1"/>
    <sheet name="2.mell" sheetId="2" r:id="rId2"/>
    <sheet name="3.mell" sheetId="3" r:id="rId3"/>
    <sheet name="4.mell" sheetId="4" state="hidden" r:id="rId4"/>
    <sheet name="5.mell" sheetId="5" r:id="rId5"/>
    <sheet name="6.mell" sheetId="6" r:id="rId6"/>
    <sheet name="7.a.mell" sheetId="7" r:id="rId7"/>
    <sheet name="7.mell" sheetId="8" r:id="rId8"/>
    <sheet name="8.mell" sheetId="9" state="hidden" r:id="rId9"/>
    <sheet name="9.mell" sheetId="10" r:id="rId10"/>
    <sheet name="10.mell" sheetId="11" r:id="rId11"/>
    <sheet name="11.mell" sheetId="12" r:id="rId12"/>
    <sheet name="12.mell" sheetId="13" r:id="rId13"/>
    <sheet name="13.mell" sheetId="14" r:id="rId14"/>
    <sheet name="14.mell" sheetId="15" r:id="rId15"/>
    <sheet name="15.mell" sheetId="16" state="hidden" r:id="rId16"/>
    <sheet name="16.mell" sheetId="17" r:id="rId17"/>
    <sheet name="17.mell" sheetId="18" state="hidden" r:id="rId18"/>
    <sheet name="18.mell" sheetId="19" r:id="rId19"/>
  </sheets>
  <definedNames>
    <definedName name="_xlnm.Print_Area" localSheetId="0">'1. mell'!$A$1:$N$15</definedName>
    <definedName name="_xlnm.Print_Area" localSheetId="10">'10.mell'!$A$1:$F$57</definedName>
    <definedName name="_xlnm.Print_Area" localSheetId="11">'11.mell'!$A$1:$F$57</definedName>
    <definedName name="_xlnm.Print_Area" localSheetId="12">'12.mell'!$A$1:$F$57</definedName>
    <definedName name="_xlnm.Print_Area" localSheetId="13">'13.mell'!$A$1:$F$57</definedName>
    <definedName name="_xlnm.Print_Area" localSheetId="14">'14.mell'!$A$1:$F$72</definedName>
    <definedName name="_xlnm.Print_Area" localSheetId="18">'18.mell'!$A$1:$H$143</definedName>
    <definedName name="_xlnm.Print_Area" localSheetId="4">'5.mell'!$A$1:$M$46</definedName>
    <definedName name="_xlnm.Print_Area" localSheetId="9">'9.mell'!$A$1:$P$20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22" authorId="0">
      <text>
        <r>
          <rPr>
            <b/>
            <sz val="9"/>
            <rFont val="Tahoma"/>
            <family val="2"/>
          </rPr>
          <t>Brigi:</t>
        </r>
        <r>
          <rPr>
            <sz val="9"/>
            <rFont val="Tahoma"/>
            <family val="2"/>
          </rPr>
          <t xml:space="preserve">
224 180 800 állami támogatás
+ 238 130 695 a pénzmaradványból v bármelyik működési bevételből</t>
        </r>
      </text>
    </comment>
    <comment ref="C19" authorId="0">
      <text>
        <r>
          <rPr>
            <b/>
            <sz val="9"/>
            <rFont val="Tahoma"/>
            <family val="2"/>
          </rPr>
          <t>Brigi:
571 867 613 önkori pm</t>
        </r>
        <r>
          <rPr>
            <sz val="9"/>
            <rFont val="Tahoma"/>
            <family val="2"/>
          </rPr>
          <t xml:space="preserve">
+ 6 146 733 ph pm
+ 7 989 857 intézményi pm
- 64 202 742 piac tám
- 47 333 991 bölcsi tám
- 15 000 000 Jókai u tám
</t>
        </r>
        <r>
          <rPr>
            <b/>
            <sz val="9"/>
            <rFont val="Tahoma"/>
            <family val="2"/>
          </rPr>
          <t>= 459 467 470</t>
        </r>
      </text>
    </comment>
    <comment ref="C47" authorId="0">
      <text>
        <r>
          <rPr>
            <b/>
            <sz val="9"/>
            <rFont val="Tahoma"/>
            <family val="2"/>
          </rPr>
          <t>Brigi</t>
        </r>
        <r>
          <rPr>
            <sz val="9"/>
            <rFont val="Tahoma"/>
            <family val="2"/>
          </rPr>
          <t xml:space="preserve">
- 64 202 742 piac tám
- 47 333 991 bölcsi tám
- 15 000 000 Jókai u tám
</t>
        </r>
        <r>
          <rPr>
            <b/>
            <sz val="9"/>
            <rFont val="Tahoma"/>
            <family val="2"/>
          </rPr>
          <t>= 126 536 733</t>
        </r>
      </text>
    </comment>
    <comment ref="D19" authorId="0">
      <text>
        <r>
          <rPr>
            <b/>
            <sz val="9"/>
            <rFont val="Tahoma"/>
            <family val="2"/>
          </rPr>
          <t>Brigi:
571 867 613 önkori pm</t>
        </r>
        <r>
          <rPr>
            <sz val="9"/>
            <rFont val="Tahoma"/>
            <family val="2"/>
          </rPr>
          <t xml:space="preserve">
+ 6 146 733 ph pm
+ 7 989 857 intézményi pm
- 64 202 742 piac tám
- 47 333 991 bölcsi tám
- 15 000 000 Jókai u tám
</t>
        </r>
        <r>
          <rPr>
            <b/>
            <sz val="9"/>
            <rFont val="Tahoma"/>
            <family val="2"/>
          </rPr>
          <t>= 459 467 470</t>
        </r>
      </text>
    </comment>
    <comment ref="D22" authorId="0">
      <text>
        <r>
          <rPr>
            <b/>
            <sz val="9"/>
            <rFont val="Tahoma"/>
            <family val="2"/>
          </rPr>
          <t>Brigi:</t>
        </r>
        <r>
          <rPr>
            <sz val="9"/>
            <rFont val="Tahoma"/>
            <family val="2"/>
          </rPr>
          <t xml:space="preserve">
224 180 800 állami támogatás
+ 238 130 695 a pénzmaradványból v bármelyik működési bevételből</t>
        </r>
      </text>
    </comment>
    <comment ref="D47" authorId="0">
      <text>
        <r>
          <rPr>
            <b/>
            <sz val="9"/>
            <rFont val="Tahoma"/>
            <family val="2"/>
          </rPr>
          <t>Brigi</t>
        </r>
        <r>
          <rPr>
            <sz val="9"/>
            <rFont val="Tahoma"/>
            <family val="2"/>
          </rPr>
          <t xml:space="preserve">
- 64 202 742 piac tám
- 47 333 991 bölcsi tám
- 15 000 000 Jókai u tám
</t>
        </r>
        <r>
          <rPr>
            <b/>
            <sz val="9"/>
            <rFont val="Tahoma"/>
            <family val="2"/>
          </rPr>
          <t>= 126 536 733</t>
        </r>
      </text>
    </comment>
    <comment ref="E19" authorId="0">
      <text>
        <r>
          <rPr>
            <b/>
            <sz val="9"/>
            <rFont val="Tahoma"/>
            <family val="2"/>
          </rPr>
          <t>Brigi:
571 867 613 önkori pm</t>
        </r>
        <r>
          <rPr>
            <sz val="9"/>
            <rFont val="Tahoma"/>
            <family val="2"/>
          </rPr>
          <t xml:space="preserve">
+ 6 146 733 ph pm
+ 7 989 857 intézményi pm
- 64 202 742 piac tám
- 47 333 991 bölcsi tám
- 15 000 000 Jókai u tám
</t>
        </r>
        <r>
          <rPr>
            <b/>
            <sz val="9"/>
            <rFont val="Tahoma"/>
            <family val="2"/>
          </rPr>
          <t>= 459 467 470</t>
        </r>
      </text>
    </comment>
    <comment ref="E22" authorId="0">
      <text>
        <r>
          <rPr>
            <b/>
            <sz val="9"/>
            <rFont val="Tahoma"/>
            <family val="2"/>
          </rPr>
          <t>Brigi:</t>
        </r>
        <r>
          <rPr>
            <sz val="9"/>
            <rFont val="Tahoma"/>
            <family val="2"/>
          </rPr>
          <t xml:space="preserve">
224 180 800 állami támogatás
+ 238 130 695 a pénzmaradványból v bármelyik működési bevételből</t>
        </r>
      </text>
    </comment>
    <comment ref="E47" authorId="0">
      <text>
        <r>
          <rPr>
            <b/>
            <sz val="9"/>
            <rFont val="Tahoma"/>
            <family val="2"/>
          </rPr>
          <t>Brigi</t>
        </r>
        <r>
          <rPr>
            <sz val="9"/>
            <rFont val="Tahoma"/>
            <family val="2"/>
          </rPr>
          <t xml:space="preserve">
- 64 202 742 piac tám
- 47 333 991 bölcsi tám
- 15 000 000 Jókai u tám
</t>
        </r>
        <r>
          <rPr>
            <b/>
            <sz val="9"/>
            <rFont val="Tahoma"/>
            <family val="2"/>
          </rPr>
          <t>= 126 536 733</t>
        </r>
      </text>
    </comment>
  </commentList>
</comments>
</file>

<file path=xl/sharedStrings.xml><?xml version="1.0" encoding="utf-8"?>
<sst xmlns="http://schemas.openxmlformats.org/spreadsheetml/2006/main" count="2748" uniqueCount="1161">
  <si>
    <t>1.</t>
  </si>
  <si>
    <t>2.</t>
  </si>
  <si>
    <t>3.</t>
  </si>
  <si>
    <t>4.</t>
  </si>
  <si>
    <t>5.</t>
  </si>
  <si>
    <t>6.</t>
  </si>
  <si>
    <t>7.</t>
  </si>
  <si>
    <t>8.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</si>
  <si>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</si>
  <si>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</si>
  <si>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</si>
  <si>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</si>
  <si>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</si>
  <si>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Közhatalmi bevételek</t>
  </si>
  <si>
    <t>Működési célú átvett pénzeszközök</t>
  </si>
  <si>
    <t>Felhalmozási célú átvett pénzeszközök</t>
  </si>
  <si>
    <t>Személyi juttatások</t>
  </si>
  <si>
    <t>Dologi kiadások</t>
  </si>
  <si>
    <t>Felhalmozási bevételek</t>
  </si>
  <si>
    <t>BEVÉTELEK</t>
  </si>
  <si>
    <t>KIADÁSOK</t>
  </si>
  <si>
    <t>I.</t>
  </si>
  <si>
    <t>KÖLTSÉGVETÉSI BEVÉTELEK</t>
  </si>
  <si>
    <t>KÖLTSÉGVETÉSI KIADÁSOK</t>
  </si>
  <si>
    <t>Működési célú támogatások államháztartáson belülről</t>
  </si>
  <si>
    <t>Felhalmozási célú támogatások államháztartáson belülről</t>
  </si>
  <si>
    <t>Működési bevételek</t>
  </si>
  <si>
    <t>Egyéb felhalmozási célú kiadások</t>
  </si>
  <si>
    <t>II.</t>
  </si>
  <si>
    <t>FINANSZÍROZÁSI BEVÉTELEK</t>
  </si>
  <si>
    <t>FINANSZÍROZÁSI KIADÁSOK</t>
  </si>
  <si>
    <t>BEVÉTELEK ÖSSZESEN</t>
  </si>
  <si>
    <t>KIADÁSOK ÖSSZESEN</t>
  </si>
  <si>
    <t>Önkormányzat működési támogatásai</t>
  </si>
  <si>
    <t>Megnevezés</t>
  </si>
  <si>
    <t>Önkormányzat</t>
  </si>
  <si>
    <t>adatok Forintban</t>
  </si>
  <si>
    <t>Feladat megnevezése</t>
  </si>
  <si>
    <t>Összes bevétel, kiadás</t>
  </si>
  <si>
    <t>Rovatrend</t>
  </si>
  <si>
    <t>Száma</t>
  </si>
  <si>
    <t>Előirányzat-csoport, kiemelt előirányzat megnevezése</t>
  </si>
  <si>
    <t>Bevételek</t>
  </si>
  <si>
    <t>B11</t>
  </si>
  <si>
    <t>Önkormányzat működési támogatásai (1.1.+…+.1.6.)</t>
  </si>
  <si>
    <t>B111</t>
  </si>
  <si>
    <t>1.1.</t>
  </si>
  <si>
    <t>Helyi önkormányzatok működésének általános támogatása</t>
  </si>
  <si>
    <t>B112</t>
  </si>
  <si>
    <t>1.2.</t>
  </si>
  <si>
    <t>Önkormányzatok egyes köznevelési feladatainak támogatása</t>
  </si>
  <si>
    <t>B113</t>
  </si>
  <si>
    <t>1.3.</t>
  </si>
  <si>
    <t>Önkormányzatok szociális és gyermekjóléti, étkeztetési feladatainak támogatása</t>
  </si>
  <si>
    <t>B114</t>
  </si>
  <si>
    <t>1.4.</t>
  </si>
  <si>
    <t>Önkormányzatok kulturális feladatainak támogatása</t>
  </si>
  <si>
    <t>B115</t>
  </si>
  <si>
    <t>1.5.</t>
  </si>
  <si>
    <t>Működési célú kvi támogatások és kiegészítő támogatások</t>
  </si>
  <si>
    <t>B116</t>
  </si>
  <si>
    <t>1.6.</t>
  </si>
  <si>
    <t>Elszámolásból származó bevételek</t>
  </si>
  <si>
    <t>B1</t>
  </si>
  <si>
    <t>Működési célú támogatások államháztartáson belülről (2.1.+…+.2.5.)</t>
  </si>
  <si>
    <t>B12</t>
  </si>
  <si>
    <t>2.1.</t>
  </si>
  <si>
    <t>Elvonások és befizetések bevételei</t>
  </si>
  <si>
    <t>B13</t>
  </si>
  <si>
    <t>2.2.</t>
  </si>
  <si>
    <t xml:space="preserve">Működési célú garancia- és kezességvállalásból megtérülések </t>
  </si>
  <si>
    <t>B14</t>
  </si>
  <si>
    <t>2.3.</t>
  </si>
  <si>
    <t xml:space="preserve">Működési célú visszatérítendő támogatások, kölcsönök visszatérülése </t>
  </si>
  <si>
    <t>B15</t>
  </si>
  <si>
    <t>2.4.</t>
  </si>
  <si>
    <t xml:space="preserve">Működési célú vissza nem térítendő támogatások, </t>
  </si>
  <si>
    <t>B16</t>
  </si>
  <si>
    <t>2.5.</t>
  </si>
  <si>
    <t xml:space="preserve">Egyéb működési célú támogatások bevételei </t>
  </si>
  <si>
    <t>2.6.</t>
  </si>
  <si>
    <t>2.5.-ből EU-s támogatás</t>
  </si>
  <si>
    <t>B2</t>
  </si>
  <si>
    <t>Felhalmozási célú támogatások államháztartáson belülről (3.1.+…+3.5.)</t>
  </si>
  <si>
    <t>B21</t>
  </si>
  <si>
    <t>3.1.</t>
  </si>
  <si>
    <t>Felhalmozási célú önkormányzati támogatások</t>
  </si>
  <si>
    <t>B22</t>
  </si>
  <si>
    <t>3.2.</t>
  </si>
  <si>
    <t>Felhalmozási célú garancia- és kezességvállalásból megtérülések</t>
  </si>
  <si>
    <t>B23</t>
  </si>
  <si>
    <t>3.3.</t>
  </si>
  <si>
    <t>Felhalmozási célú visszatérítendő támogatások, kölcsönök visszatérülése</t>
  </si>
  <si>
    <t>B24</t>
  </si>
  <si>
    <t>3.4.</t>
  </si>
  <si>
    <t xml:space="preserve">Felhalmozási célú vissza nem térítendő támogatások, </t>
  </si>
  <si>
    <t>B25</t>
  </si>
  <si>
    <t>3.5.</t>
  </si>
  <si>
    <t>Egyéb felhalmozási célú támogatások bevételei</t>
  </si>
  <si>
    <t>3.6.</t>
  </si>
  <si>
    <t>3.5.-ből EU-s támogatás</t>
  </si>
  <si>
    <t>B3</t>
  </si>
  <si>
    <t xml:space="preserve">4. </t>
  </si>
  <si>
    <t>Közhatalmi bevételek (4.1…..4.7)</t>
  </si>
  <si>
    <t>B34</t>
  </si>
  <si>
    <t>4.1.</t>
  </si>
  <si>
    <t>Telekadó</t>
  </si>
  <si>
    <t>4.2</t>
  </si>
  <si>
    <t>Magánszemélyek kommunális adója</t>
  </si>
  <si>
    <t>4.3</t>
  </si>
  <si>
    <t xml:space="preserve"> Iparűzési adó</t>
  </si>
  <si>
    <t>4.4</t>
  </si>
  <si>
    <t>Talajterhelési díj</t>
  </si>
  <si>
    <t>B35</t>
  </si>
  <si>
    <t>4.5</t>
  </si>
  <si>
    <t>Gépjárműadó</t>
  </si>
  <si>
    <t>B351</t>
  </si>
  <si>
    <t>4.6</t>
  </si>
  <si>
    <t>B354</t>
  </si>
  <si>
    <t>4.7</t>
  </si>
  <si>
    <t>Egyéb közhatalmi bevételek</t>
  </si>
  <si>
    <t>B36</t>
  </si>
  <si>
    <t>4.7.1</t>
  </si>
  <si>
    <t>Késedelmi pótlék</t>
  </si>
  <si>
    <t>4.7.2</t>
  </si>
  <si>
    <t>Bírságok</t>
  </si>
  <si>
    <t>B4</t>
  </si>
  <si>
    <t>Működési bevételek (5.1.+…+ 5.11.)</t>
  </si>
  <si>
    <t>B401</t>
  </si>
  <si>
    <t>5.1.</t>
  </si>
  <si>
    <t>Készletértékesítés ellenértéke</t>
  </si>
  <si>
    <t>B402</t>
  </si>
  <si>
    <t>5.2.</t>
  </si>
  <si>
    <t>Szolgáltatások ellenértéke</t>
  </si>
  <si>
    <t>B403</t>
  </si>
  <si>
    <t>5.3.</t>
  </si>
  <si>
    <t>Közvetített szolgáltatások értéke</t>
  </si>
  <si>
    <t>B404</t>
  </si>
  <si>
    <t>5.4.</t>
  </si>
  <si>
    <t>Tulajdonosi bevételek</t>
  </si>
  <si>
    <t>B405</t>
  </si>
  <si>
    <t>5.5.</t>
  </si>
  <si>
    <t>Ellátási díjak</t>
  </si>
  <si>
    <t>B406</t>
  </si>
  <si>
    <t>5.6.</t>
  </si>
  <si>
    <t xml:space="preserve">Kiszámlázott általános forgalmi adó </t>
  </si>
  <si>
    <t>B407</t>
  </si>
  <si>
    <t>5.7.</t>
  </si>
  <si>
    <t>Általános forgalmi adó visszatérítése</t>
  </si>
  <si>
    <t>B408</t>
  </si>
  <si>
    <t>5.8.</t>
  </si>
  <si>
    <t>Kamatbevételek és más nyereségjellegű bevételek</t>
  </si>
  <si>
    <t>B409</t>
  </si>
  <si>
    <t>5.9.</t>
  </si>
  <si>
    <t>Egyéb pénzügyi műveletek bevételei</t>
  </si>
  <si>
    <t>B410</t>
  </si>
  <si>
    <t>5.10.</t>
  </si>
  <si>
    <t>Biztosító által fizetett kártérítés</t>
  </si>
  <si>
    <t>5.11.</t>
  </si>
  <si>
    <t>Egyéb működési bevételek</t>
  </si>
  <si>
    <t>B5</t>
  </si>
  <si>
    <t>Felhalmozási bevételek (6.1.+…+6.5.)</t>
  </si>
  <si>
    <t>B51</t>
  </si>
  <si>
    <t>6.1.</t>
  </si>
  <si>
    <t>Immateriális javak értékesítése</t>
  </si>
  <si>
    <t>B52</t>
  </si>
  <si>
    <t>6.2.</t>
  </si>
  <si>
    <t>Ingatlanok értékesítése</t>
  </si>
  <si>
    <t>B53</t>
  </si>
  <si>
    <t>6.3.</t>
  </si>
  <si>
    <t>Egyéb tárgyi eszközök értékesítése</t>
  </si>
  <si>
    <t>B54</t>
  </si>
  <si>
    <t>6.4.</t>
  </si>
  <si>
    <t>Részesedések értékesítése</t>
  </si>
  <si>
    <t>B55</t>
  </si>
  <si>
    <t>6.5.</t>
  </si>
  <si>
    <t>Részesedések megszűnéséhez kapcsolódó bevételek</t>
  </si>
  <si>
    <t>B6</t>
  </si>
  <si>
    <t xml:space="preserve">7. </t>
  </si>
  <si>
    <t>Működési célú átvett pénzeszközök (7.1. + … + 7.3.)</t>
  </si>
  <si>
    <t>B61</t>
  </si>
  <si>
    <t>7.1.</t>
  </si>
  <si>
    <t>Működési célú garancia- és kezességvállalásból megtérülések ÁH-n kívülről</t>
  </si>
  <si>
    <t>B62</t>
  </si>
  <si>
    <t>7.2.</t>
  </si>
  <si>
    <t>Működési célú visszatérítendő támogatások, kölcsönök visszatér. ÁH-n kívülről</t>
  </si>
  <si>
    <t>B63</t>
  </si>
  <si>
    <t>7.3.</t>
  </si>
  <si>
    <t>Egyéb működési célú átvett pénzeszköz</t>
  </si>
  <si>
    <t>7.3.-ból EU-s támogatás (közvetlen)</t>
  </si>
  <si>
    <t>B7</t>
  </si>
  <si>
    <t>Felhalmozási célú átvett pénzeszközök (8.1.+8.2.+8.3.)</t>
  </si>
  <si>
    <t>B71</t>
  </si>
  <si>
    <t>8.1.</t>
  </si>
  <si>
    <t>Felhalm. célú garancia- és kezességvállalásból megtérülések ÁH-n kívülről</t>
  </si>
  <si>
    <t>B72</t>
  </si>
  <si>
    <t>8.2.</t>
  </si>
  <si>
    <t>Felhalm. célú visszatérítendő támogatások, kölcsönök visszatér. ÁH-n kívülről</t>
  </si>
  <si>
    <t>B73</t>
  </si>
  <si>
    <t>8.3.</t>
  </si>
  <si>
    <t>Egyéb felhalmozási célú átvett pénzeszköz</t>
  </si>
  <si>
    <t>8.4.</t>
  </si>
  <si>
    <t>8.3.-ból EU-s támogatás (közvetlen)</t>
  </si>
  <si>
    <t>B1-B7</t>
  </si>
  <si>
    <t>9.</t>
  </si>
  <si>
    <t>KÖLTSÉGVETÉSI BEVÉTELEK ÖSSZESEN: (1+…+8)</t>
  </si>
  <si>
    <t>B811</t>
  </si>
  <si>
    <t xml:space="preserve"> 10.</t>
  </si>
  <si>
    <t>Hitel-, kölcsönfelvétel államháztartáson kívülről  (10.1.+10.3.)</t>
  </si>
  <si>
    <t>B812</t>
  </si>
  <si>
    <t xml:space="preserve">   11.</t>
  </si>
  <si>
    <t>Belföldi értékpapírok bevételei (11.1. +…+ 11.4.)</t>
  </si>
  <si>
    <t>B813</t>
  </si>
  <si>
    <t xml:space="preserve">    12.</t>
  </si>
  <si>
    <t>Maradvány igénybevétele (12.1. + 12.2.)</t>
  </si>
  <si>
    <t>B8131</t>
  </si>
  <si>
    <t>12.1.</t>
  </si>
  <si>
    <t>Előző év költségvetési maradvány</t>
  </si>
  <si>
    <t>B8132</t>
  </si>
  <si>
    <t>12.2.</t>
  </si>
  <si>
    <t>Előző év vállalkozási maradvány</t>
  </si>
  <si>
    <t>B81</t>
  </si>
  <si>
    <t xml:space="preserve">    13.</t>
  </si>
  <si>
    <t>Belföldi finanszírozás bevételei (13.1. + … + 13.3.)</t>
  </si>
  <si>
    <t>B814</t>
  </si>
  <si>
    <t>13.1.</t>
  </si>
  <si>
    <t>Irányító szervi támogatás</t>
  </si>
  <si>
    <t>B82</t>
  </si>
  <si>
    <t xml:space="preserve">    14.</t>
  </si>
  <si>
    <t>Külföldi finanszírozás bevételei (14.1.+…14.4.)</t>
  </si>
  <si>
    <t>B8</t>
  </si>
  <si>
    <t xml:space="preserve">   17.</t>
  </si>
  <si>
    <t>FINANSZÍROZÁSI BEVÉTELEK ÖSSZESEN: (10. + … +16.)</t>
  </si>
  <si>
    <t xml:space="preserve">   18.</t>
  </si>
  <si>
    <t>KÖLTSÉGVETÉSI ÉS FINANSZÍROZÁSI BEVÉTELEK ÖSSZESEN: (9+17)</t>
  </si>
  <si>
    <t>Kiadások</t>
  </si>
  <si>
    <t>K1</t>
  </si>
  <si>
    <t>Személyi  juttatások</t>
  </si>
  <si>
    <t>K2</t>
  </si>
  <si>
    <t>K3</t>
  </si>
  <si>
    <t>Dologi  kiadások</t>
  </si>
  <si>
    <t>K4</t>
  </si>
  <si>
    <t>K5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</si>
  <si>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</si>
  <si>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</si>
  <si>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</si>
  <si>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</si>
  <si>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K502</t>
  </si>
  <si>
    <t>1.8.</t>
  </si>
  <si>
    <t xml:space="preserve">   - Elvonások és befizetések</t>
  </si>
  <si>
    <t>K503</t>
  </si>
  <si>
    <t>1.9.</t>
  </si>
  <si>
    <t xml:space="preserve">   - Garancia- és kezességvállalásból kifizetés ÁH-n belülre</t>
  </si>
  <si>
    <t>K504</t>
  </si>
  <si>
    <t>1.10.</t>
  </si>
  <si>
    <t xml:space="preserve">   -Visszatérítendő támogatások, kölcsönök nyújtása ÁH-n belülre</t>
  </si>
  <si>
    <t>K505</t>
  </si>
  <si>
    <t>1.11.</t>
  </si>
  <si>
    <t xml:space="preserve">   - Visszatérítendő támogatások, kölcsönök törlesztése ÁH-n belülre</t>
  </si>
  <si>
    <t>K506</t>
  </si>
  <si>
    <t>1.12.</t>
  </si>
  <si>
    <t xml:space="preserve">   - Egyéb működési célú támogatások ÁH-n belülre</t>
  </si>
  <si>
    <t>K507</t>
  </si>
  <si>
    <t>1.13.</t>
  </si>
  <si>
    <t xml:space="preserve">   - Garancia és kezességvállalásból kifizetés ÁH-n kívülre</t>
  </si>
  <si>
    <t>K508</t>
  </si>
  <si>
    <t>1.14.</t>
  </si>
  <si>
    <t xml:space="preserve">   - Visszatérítendő támogatások, kölcsönök nyújtása ÁH-n kívülre</t>
  </si>
  <si>
    <t>K509</t>
  </si>
  <si>
    <t>1.15.</t>
  </si>
  <si>
    <t xml:space="preserve">   - Teljesítési biztosíték visszafizetése</t>
  </si>
  <si>
    <t>K510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</si>
  <si>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</si>
  <si>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</si>
  <si>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</si>
  <si>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</si>
  <si>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K512</t>
  </si>
  <si>
    <t>1.18.</t>
  </si>
  <si>
    <t xml:space="preserve">                  - Működési célú tartalékok</t>
  </si>
  <si>
    <t>K6</t>
  </si>
  <si>
    <t>K7</t>
  </si>
  <si>
    <t>K8</t>
  </si>
  <si>
    <t>Egyéb felhalmozási kiadások</t>
  </si>
  <si>
    <t>K81</t>
  </si>
  <si>
    <t>2.5.-ből        -Általános tartalék</t>
  </si>
  <si>
    <t>K82</t>
  </si>
  <si>
    <t>2.7.</t>
  </si>
  <si>
    <t xml:space="preserve">   - Visszatérítendő támogatások, kölcsönök nyújtása ÁH-n belülre</t>
  </si>
  <si>
    <t>K1-K8</t>
  </si>
  <si>
    <t>KÖLTSÉGVETÉSI KIADÁSOK ÖSSZESEN (1+2)</t>
  </si>
  <si>
    <t>K911</t>
  </si>
  <si>
    <t>Hitel-, kölcsöntörlesztés államháztartáson kívülre</t>
  </si>
  <si>
    <t>K912</t>
  </si>
  <si>
    <t xml:space="preserve">Belföldi értékpapírok kiadásai </t>
  </si>
  <si>
    <t>K91</t>
  </si>
  <si>
    <t xml:space="preserve">Belföldi finanszírozás kiadásai </t>
  </si>
  <si>
    <t>K913</t>
  </si>
  <si>
    <t>6.1</t>
  </si>
  <si>
    <t>Államháztartáson belüli megelőlegezés visszafizetése</t>
  </si>
  <si>
    <t>6.2</t>
  </si>
  <si>
    <t>Irányítószervi támogatás</t>
  </si>
  <si>
    <t>K921</t>
  </si>
  <si>
    <t xml:space="preserve">Külföldi finanszírozás kiadásai 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</si>
  <si>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</si>
  <si>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</si>
  <si>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</si>
  <si>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</si>
  <si>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</si>
  <si>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 xml:space="preserve"> Forintban !</t>
  </si>
  <si>
    <t>Sor-
szám</t>
  </si>
  <si>
    <t>Önkormányzatok működési támogatásai</t>
  </si>
  <si>
    <t>2.-ból EU-s támogatás</t>
  </si>
  <si>
    <t xml:space="preserve">Dologi kiadások </t>
  </si>
  <si>
    <t>6.-ból EU-s támogatás (közvetlen)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</si>
  <si>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</si>
  <si>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</si>
  <si>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</si>
  <si>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</si>
  <si>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</si>
  <si>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</si>
  <si>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</si>
  <si>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</si>
  <si>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</si>
  <si>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</si>
  <si>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</si>
  <si>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</si>
  <si>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</si>
  <si>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</si>
  <si>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</si>
  <si>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</si>
  <si>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</si>
  <si>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</si>
  <si>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</si>
  <si>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</si>
  <si>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</si>
  <si>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</si>
  <si>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</si>
  <si>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</si>
  <si>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</si>
  <si>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</si>
  <si>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</si>
  <si>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</si>
  <si>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</si>
  <si>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</si>
  <si>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</si>
  <si>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</si>
  <si>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</si>
  <si>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</si>
  <si>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</si>
  <si>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</si>
  <si>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</si>
  <si>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</si>
  <si>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</si>
  <si>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</si>
  <si>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</si>
  <si>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</si>
  <si>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12.</t>
  </si>
  <si>
    <t>Költségvetési bevételek összesen: (1.+3.+4.+6.)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</si>
  <si>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</si>
  <si>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</si>
  <si>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</si>
  <si>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</si>
  <si>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</si>
  <si>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</si>
  <si>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</si>
  <si>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</si>
  <si>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</si>
  <si>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</si>
  <si>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</si>
  <si>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</si>
  <si>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</si>
  <si>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</si>
  <si>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</si>
  <si>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</si>
  <si>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</si>
  <si>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</si>
  <si>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</si>
  <si>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</si>
  <si>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FELHALMOZÁSI BEVÉTELEK ÖSSZESEN (12+25)</t>
  </si>
  <si>
    <t>FELHALMOZÁSI KIADÁSOK ÖSSZESEN (12+25)</t>
  </si>
  <si>
    <t>27.</t>
  </si>
  <si>
    <t>BEVÉTEL ÖSSZESEN (I.25+II.26)</t>
  </si>
  <si>
    <t>KIADÁSOK ÖSSZESEN (I.25+II.26)</t>
  </si>
  <si>
    <t>(intézmények nélkül)</t>
  </si>
  <si>
    <t>Ft-ban</t>
  </si>
  <si>
    <t>Bevétel</t>
  </si>
  <si>
    <t>Kiadás</t>
  </si>
  <si>
    <t>Működési kiadások</t>
  </si>
  <si>
    <t>Felhalmozási kiadások</t>
  </si>
  <si>
    <t>Finanszírozási kiadások</t>
  </si>
  <si>
    <t xml:space="preserve">Személyi juttatások </t>
  </si>
  <si>
    <t>M.adókat terh. jár. és szochó</t>
  </si>
  <si>
    <t xml:space="preserve">Dologi </t>
  </si>
  <si>
    <t>Egyéb működési kiadás</t>
  </si>
  <si>
    <t>Ellátottak pénzbeli juttatása</t>
  </si>
  <si>
    <t>Működési tartalékok</t>
  </si>
  <si>
    <t>Felújítás</t>
  </si>
  <si>
    <t>Beruházás</t>
  </si>
  <si>
    <t>Felhalmozási tartalékok</t>
  </si>
  <si>
    <t>Hitel- és kölcsön törlesztés</t>
  </si>
  <si>
    <t>Költségvetési szerveknek folyósított támogatás</t>
  </si>
  <si>
    <t>Állam (igazgatás)</t>
  </si>
  <si>
    <t>Önkormányzatok és önkormányzati hivatalok jogalkotó és általános igazgatási tevékenysége</t>
  </si>
  <si>
    <t>Kötelező</t>
  </si>
  <si>
    <t>Nem kötelező</t>
  </si>
  <si>
    <t>Nemzetközi szervezetekben való részvétel</t>
  </si>
  <si>
    <t>Eredeti</t>
  </si>
  <si>
    <t>Köztemető fenntartás és működtetés</t>
  </si>
  <si>
    <t>Az önkormányzati vagyonnal való gazdálkodással kapcsolatos feladatok</t>
  </si>
  <si>
    <t>Kiemelt állami és önkormányzati rendezvények (Városi ünnepek)</t>
  </si>
  <si>
    <t>Önkormányzatok elszámolásai a központi költségvetéssel</t>
  </si>
  <si>
    <t>Központi költségvetési befizetések</t>
  </si>
  <si>
    <t>Támogatási célú finanszírozási műveletek</t>
  </si>
  <si>
    <t>Polgári honvédelem ágazati feladatai, a lakosság felkészítése</t>
  </si>
  <si>
    <t xml:space="preserve">Közterület rendjének fenntartása </t>
  </si>
  <si>
    <t xml:space="preserve">Tűz- és katasztrófavédelmi tevékenységek </t>
  </si>
  <si>
    <t>Hosszabb időtartamú közfoglalkoztatás</t>
  </si>
  <si>
    <t>Városi és elővárosi közúti személyszállítás</t>
  </si>
  <si>
    <t>Közutak, hidak, alagutak üzemeltetése, fenntartása</t>
  </si>
  <si>
    <t>047120</t>
  </si>
  <si>
    <t>Piac üzemeltetés</t>
  </si>
  <si>
    <t>Nem veszélyes (települési) hulladék összetevőinek válogatása, elkülönített begyűjtése, szállítása, átrakása</t>
  </si>
  <si>
    <t>Szennyvíz gyűjtése, tisztítása, elhelyezése</t>
  </si>
  <si>
    <t>Környezetszennyezés csökkentésének igazgatása</t>
  </si>
  <si>
    <t>Környezetvédelmi csoportok támogatása</t>
  </si>
  <si>
    <t>Önkormányzat által nyújtott lakástámogatás</t>
  </si>
  <si>
    <t>Településfejlesztési projektek és támogatások</t>
  </si>
  <si>
    <t>Víztermelés-kezelés ellátás</t>
  </si>
  <si>
    <t>Közvilágítás</t>
  </si>
  <si>
    <t>Zöldterület kezelés (parkfenntartás)</t>
  </si>
  <si>
    <t xml:space="preserve">Város- községgazdálkodási egyéb szolgáltatások </t>
  </si>
  <si>
    <t>072112</t>
  </si>
  <si>
    <t>Háziorvosi ügyeleti ellátás ( dologi )</t>
  </si>
  <si>
    <t>074031</t>
  </si>
  <si>
    <t>Család és nővédelmi egészségügyi gondozás ( dologi)</t>
  </si>
  <si>
    <t>Sportlétesítmények, edzőtáborok működtetése és fejlesztése</t>
  </si>
  <si>
    <t xml:space="preserve">Önkormányzat ifjúsági kezdeményezések és programok </t>
  </si>
  <si>
    <t>Nemzetközi kulturális együttműködés (Testvérvárosi feladatok)</t>
  </si>
  <si>
    <t>091220</t>
  </si>
  <si>
    <t>Köznevelési intézmény 1-4. évfolyamán tanulók nevelésével, oktatásával kapcs. tám.</t>
  </si>
  <si>
    <t>091250</t>
  </si>
  <si>
    <t>Alapfokú művészetoktatással összefüggő működtetési feladatok</t>
  </si>
  <si>
    <t>092120</t>
  </si>
  <si>
    <t>Köznevelési intézmény 5-8. évfolyamán tanulók nevelésével, oktatásával kapcs. tám.</t>
  </si>
  <si>
    <t>Munkanélküli aktív korúak ellátásai</t>
  </si>
  <si>
    <t>Egyéb szociális pénzbeli és természetbeni ellátások, támogatások</t>
  </si>
  <si>
    <t>Mindösszesen:</t>
  </si>
  <si>
    <t>Kötelező összesen:</t>
  </si>
  <si>
    <t>Nem kötelező összesen:</t>
  </si>
  <si>
    <t>Állam (igazgatás) összesen:</t>
  </si>
  <si>
    <t>Polgármesteri Hivatal, mint gazdasági szervezettel rendelkező költségvetési szerv</t>
  </si>
  <si>
    <t>Gazdasági szervezettel nem rendelkező költségvetési Intézmények</t>
  </si>
  <si>
    <t>Összesen</t>
  </si>
  <si>
    <t>Működési támogatások</t>
  </si>
  <si>
    <t>Általános működés és ágazati feladatok támogatása</t>
  </si>
  <si>
    <t>Működési célú támogatások</t>
  </si>
  <si>
    <t xml:space="preserve">Visszatérítendő támogatások és kölcsönök </t>
  </si>
  <si>
    <t>Vissza nem térítendő támogatások</t>
  </si>
  <si>
    <t>Felhalmozási célú támogatások</t>
  </si>
  <si>
    <t>Közhatalmi bevétel</t>
  </si>
  <si>
    <t>Vagyoni típusú adók</t>
  </si>
  <si>
    <t xml:space="preserve"> -Kommunális 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</si>
  <si>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</si>
  <si>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</si>
  <si>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</si>
  <si>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</si>
  <si>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</si>
  <si>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Áru és készletértékesítés </t>
  </si>
  <si>
    <t xml:space="preserve">Szolgáltatások ellenértéke </t>
  </si>
  <si>
    <t>Közvetített szolgáltatások ellenértéke</t>
  </si>
  <si>
    <t xml:space="preserve"> - ebből lakbér</t>
  </si>
  <si>
    <t>ÁFA bevétel</t>
  </si>
  <si>
    <t>Kamatbevétel</t>
  </si>
  <si>
    <t>Egyéb működési bevétel</t>
  </si>
  <si>
    <t>Felhalmozási célú visszatérítendő támogatások, kölcsönök visszatér. AH-n kívülről</t>
  </si>
  <si>
    <t>Garancia és kezességvállalásból származó visszatérülés</t>
  </si>
  <si>
    <t>KÖLTSÉGVETÉSI BEVÉTELEK ÖSSZESEN</t>
  </si>
  <si>
    <t>Hitel</t>
  </si>
  <si>
    <t>Előző évi költségvetési maradvány</t>
  </si>
  <si>
    <t>FINANSZÍROZÁSI BEVÉTELEK ÖSSZESEN</t>
  </si>
  <si>
    <t>BEVÉTELEK MINDÖSSZESEN</t>
  </si>
  <si>
    <t>( kiemelt előirányzatok szerinti részletezésben ) Forintban</t>
  </si>
  <si>
    <t>Gazdasági szevezettel nem rendelkező költségvetési Intézmények</t>
  </si>
  <si>
    <t>Munkaadót terhelő járulékok és szociális hozzájárulási adó</t>
  </si>
  <si>
    <t>Egyéb működési célú támogatások (vissza nem térítendő)</t>
  </si>
  <si>
    <t>Elvonások és befizetések</t>
  </si>
  <si>
    <t>Beruházás ( ÁFA-val )</t>
  </si>
  <si>
    <t>Felújítás ( ÁFA-val )</t>
  </si>
  <si>
    <t>Egyéb felhalmozási célú támogatások (vissza nem térítendő)</t>
  </si>
  <si>
    <t>KÖLTSÉGVETÉSI KIADÁSOK ÖSSZESEN</t>
  </si>
  <si>
    <t>FINANSZÍROZÁSI KIADÁSOK ÖSSZESEN</t>
  </si>
  <si>
    <t>KIADÁSOK MINDÖSSZESEN</t>
  </si>
  <si>
    <t>Költségvetési szerv megnevezése</t>
  </si>
  <si>
    <t>Forintban !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</si>
  <si>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</si>
  <si>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</si>
  <si>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</si>
  <si>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</si>
  <si>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</si>
  <si>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</si>
  <si>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</si>
  <si>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</si>
  <si>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</si>
  <si>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</si>
  <si>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</si>
  <si>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</si>
  <si>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</si>
  <si>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</si>
  <si>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</si>
  <si>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</si>
  <si>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</si>
  <si>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</si>
  <si>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 xml:space="preserve">Költségvetési maradvány </t>
  </si>
  <si>
    <t>9.2.</t>
  </si>
  <si>
    <t>Vállalkozási maradvány</t>
  </si>
  <si>
    <t>B816</t>
  </si>
  <si>
    <t>9.3.</t>
  </si>
  <si>
    <t>Irányító szervi (önkormányzati) támogatás (intézményfinanszírozás)</t>
  </si>
  <si>
    <t>B1-B8</t>
  </si>
  <si>
    <t>BEVÉTELEK ÖSSZESEN: (8.+9.)</t>
  </si>
  <si>
    <t>K1-K5</t>
  </si>
  <si>
    <t>Működési költségvetés kiadásai (1.1+…+1.5.)</t>
  </si>
  <si>
    <t>K6-K8</t>
  </si>
  <si>
    <t>Felhalmozási költségvetés kiadásai (2.1.+………….+2.3.)</t>
  </si>
  <si>
    <t>Egyéb fejlesztési célú kiadások</t>
  </si>
  <si>
    <t xml:space="preserve"> 2.3.-ból EU-s támogatásból megvalósuló programok, projektek kiadása</t>
  </si>
  <si>
    <t>K9</t>
  </si>
  <si>
    <t xml:space="preserve">     Finanszírozási kiadások</t>
  </si>
  <si>
    <t>K1-K9</t>
  </si>
  <si>
    <t>KIADÁSOK ÖSSZESEN: (1.+2.+3.)</t>
  </si>
  <si>
    <t>Forintban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</si>
  <si>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</si>
  <si>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</si>
  <si>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</si>
  <si>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</si>
  <si>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013350</t>
  </si>
  <si>
    <t xml:space="preserve">Önkormányzat vagyonnal való gazdálkodással kapcs.  </t>
  </si>
  <si>
    <t>016010</t>
  </si>
  <si>
    <t>Országgyűlési, önkormányzati és európai parlamenti képviselet választáshoz kapcsolódó tevékenység</t>
  </si>
  <si>
    <t>016030</t>
  </si>
  <si>
    <t>Állampolgársági ügyek - Anyakönyv</t>
  </si>
  <si>
    <t>018030</t>
  </si>
  <si>
    <t>031030</t>
  </si>
  <si>
    <t>Közterület rendjének fenntartása</t>
  </si>
  <si>
    <t>041233</t>
  </si>
  <si>
    <t>044310</t>
  </si>
  <si>
    <t xml:space="preserve">Építés hatósági ügyek </t>
  </si>
  <si>
    <t>061030</t>
  </si>
  <si>
    <t>Lakáshoz jutást segítő támogatások</t>
  </si>
  <si>
    <t>066020</t>
  </si>
  <si>
    <t>Város- községgazdálkodási szolgáltatások</t>
  </si>
  <si>
    <t>Család és nővédelmi egészségügyi gondozás</t>
  </si>
  <si>
    <t>081071</t>
  </si>
  <si>
    <t>Üdülői szálláshely szolgáltatás és étkeztetés</t>
  </si>
  <si>
    <t>105010</t>
  </si>
  <si>
    <t>106020</t>
  </si>
  <si>
    <t>Lakásfenntartással, lakhatással összefüggő ellátások</t>
  </si>
  <si>
    <t>107060</t>
  </si>
  <si>
    <t>109010</t>
  </si>
  <si>
    <t>Szociális Igazgatás</t>
  </si>
  <si>
    <t>Költségvetési Intézmények megnevezése</t>
  </si>
  <si>
    <t>Feladat jellege</t>
  </si>
  <si>
    <t>ÁFA visszafizetés</t>
  </si>
  <si>
    <t>Költségvetési maradvány</t>
  </si>
  <si>
    <t>Működési bevétel és támogatás aránya</t>
  </si>
  <si>
    <t>Finanszírozás</t>
  </si>
  <si>
    <t>Bevételek mindösszesen</t>
  </si>
  <si>
    <t>Szolgáltatások bevétele</t>
  </si>
  <si>
    <t>ÁFA</t>
  </si>
  <si>
    <t>támogatás értékű működési célra</t>
  </si>
  <si>
    <t>támogatásértékű felhalmozási célra</t>
  </si>
  <si>
    <t>Központi költségvetés aránya (%)</t>
  </si>
  <si>
    <t>Önkormány-zati finanszírozás  aránya (%)</t>
  </si>
  <si>
    <t>Költségvetési Intézmények összesen</t>
  </si>
  <si>
    <t>Kiadások összesen</t>
  </si>
  <si>
    <t>Személyi juttatás</t>
  </si>
  <si>
    <t>M.adókat terhelő jár.</t>
  </si>
  <si>
    <t>Dologi</t>
  </si>
  <si>
    <t>Pénzbeli juttatás</t>
  </si>
  <si>
    <t>Költségvetési Intézmények összesen:</t>
  </si>
  <si>
    <t>KÖTELEZŐ FELADAT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</si>
  <si>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</si>
  <si>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</si>
  <si>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</si>
  <si>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</si>
  <si>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 xml:space="preserve">Vállalkozási maradvány </t>
  </si>
  <si>
    <t>Felhalmozási költségvetés kiadásai (2.1.+…+2.3.)</t>
  </si>
  <si>
    <t>Forintban!</t>
  </si>
  <si>
    <t>adatok Ft</t>
  </si>
  <si>
    <t>Sorsz.</t>
  </si>
  <si>
    <t>Határozatok</t>
  </si>
  <si>
    <t>Eredeti előirányzat</t>
  </si>
  <si>
    <t>Korábbi évekről áthozott kötelezettségvállalások (felújítás)</t>
  </si>
  <si>
    <t>Beruházások összesen:</t>
  </si>
  <si>
    <t>Felhalmozási kiadások összesen:</t>
  </si>
  <si>
    <t>fő</t>
  </si>
  <si>
    <t>Költségvetési szerv</t>
  </si>
  <si>
    <t>Közszolgálati tisztviselő</t>
  </si>
  <si>
    <t>Közalkalmazott</t>
  </si>
  <si>
    <t>Képviselő</t>
  </si>
  <si>
    <t>Közfoglalkoztatott</t>
  </si>
  <si>
    <t>Közszolgálati ügykezelő</t>
  </si>
  <si>
    <t>Munka tv.hatálya alatt fizikai</t>
  </si>
  <si>
    <t>1. Polgármesteri Hivatal</t>
  </si>
  <si>
    <t>6. Védőnői Szolgálat</t>
  </si>
  <si>
    <t>7. Közfoglalkoztatás</t>
  </si>
  <si>
    <t>8. Polgármester+ alpolgármester</t>
  </si>
  <si>
    <t>9. Képviselők</t>
  </si>
  <si>
    <t>Sorszám</t>
  </si>
  <si>
    <t>adatok (Forint)</t>
  </si>
  <si>
    <t>Helyi adók</t>
  </si>
  <si>
    <t>Osztalékok, koncessziós díjak</t>
  </si>
  <si>
    <t>Díjak, pótlékok, bírságok, tárgyi eszközök, immateriális javak, vagyoni értékű jogok értékesítése (ingatlanértékesítés)</t>
  </si>
  <si>
    <t>Vagyonhasznosításból származó bevétel (bérleti díjak)</t>
  </si>
  <si>
    <t>Részvények, részesedések értékesítése</t>
  </si>
  <si>
    <t>Vállalat értékesítésből, privatizációból származó bevételek</t>
  </si>
  <si>
    <t>Kezességvállalással kapcsolatos megtérülések</t>
  </si>
  <si>
    <t>Önkormányzat saját bevételei összesen:</t>
  </si>
  <si>
    <t>Saját bevételek 50%-a</t>
  </si>
  <si>
    <t>Csökkentő tételek</t>
  </si>
  <si>
    <t>Hosszú lejáratú hitelek 2015.évi törlesztőrészletei</t>
  </si>
  <si>
    <t>Kezességvállalásból eredő éves kötelezettség</t>
  </si>
  <si>
    <t>Csökkentő tételek összesen:</t>
  </si>
  <si>
    <t>Kötelezettségvállalás felső határa</t>
  </si>
  <si>
    <t>Szada Nagyközség Önkormányzata adósságot keletkeztető kötelezettségvállalás felső határa</t>
  </si>
  <si>
    <t>Óvoda napi nyitvatartási ideje eléri a nyolc órát</t>
  </si>
  <si>
    <t>Óvoda napi nyitvatartási ideje nem éri el a nyolc órát, de eléri a hat órát</t>
  </si>
  <si>
    <t>II.5. Nemzetiségi pótlék</t>
  </si>
  <si>
    <t>III.3. Egyes szociális és gyermekjóléti feladatok támogatása</t>
  </si>
  <si>
    <t>III.2.g Fogyatékos és demens személyek nappali intézményi ellátása</t>
  </si>
  <si>
    <t>III.2.h Pszichiátriai és szenvedélybetegek nappali intézményi ellátása</t>
  </si>
  <si>
    <t>III.2.i Hajléktalanok nappali intézményi ellátása</t>
  </si>
  <si>
    <t>III.2.k Hajléktalanok átmeneti intézményei</t>
  </si>
  <si>
    <t>III.2.l Támogató szolgáltatás</t>
  </si>
  <si>
    <t>III.2.m Közösségi alapellátások</t>
  </si>
  <si>
    <t>III. 4. A települési önkormányzatok által biztosított egyes szociális szakosított ellátások, valamint a gyermekek átmeneti gondozásával kapcsolatos feladatok támogatása</t>
  </si>
  <si>
    <t>III.5. Gyermekétkeztetés támogatása</t>
  </si>
  <si>
    <t>IV. A TELEPÜLÉSI ÖNKORMÁNYZATOK KULTURÁLIS FELADATAINAK TÁMOGATÁSA</t>
  </si>
  <si>
    <t>I.1.a</t>
  </si>
  <si>
    <t/>
  </si>
  <si>
    <t>No.</t>
  </si>
  <si>
    <t>Jogcím száma</t>
  </si>
  <si>
    <t xml:space="preserve">Jogcím megnevezése  </t>
  </si>
  <si>
    <t>Mennyiségi egység</t>
  </si>
  <si>
    <t>Fajlagos összeg</t>
  </si>
  <si>
    <t>Mutató</t>
  </si>
  <si>
    <t>1</t>
  </si>
  <si>
    <t>Önkormányzati hivatal működésének támogatása - elismert hivatali létszám alapján</t>
  </si>
  <si>
    <t>elismert hivatali létszám</t>
  </si>
  <si>
    <t>2</t>
  </si>
  <si>
    <t>I.1.a - I.1.f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</si>
  <si>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</si>
  <si>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</si>
  <si>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</si>
  <si>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</si>
  <si>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</si>
  <si>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</si>
  <si>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</si>
  <si>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</si>
  <si>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</si>
  <si>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</si>
  <si>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</si>
  <si>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</si>
  <si>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</si>
  <si>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</si>
  <si>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</si>
  <si>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</si>
  <si>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</si>
  <si>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</si>
  <si>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</si>
  <si>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</si>
  <si>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</si>
  <si>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I.1.f</t>
  </si>
  <si>
    <t>Támogatás összesen - beszámítás után</t>
  </si>
  <si>
    <t>9</t>
  </si>
  <si>
    <t>I.1.ba - I.1.f</t>
  </si>
  <si>
    <t>A zöldterület-gazdálkodással kapcsolatos feladatok ellátásának támogatása - beszámítás után</t>
  </si>
  <si>
    <t>10</t>
  </si>
  <si>
    <t>I.1.bb - I.1.f</t>
  </si>
  <si>
    <t>Közvilágítás fenntartásának támogatása - beszámítás után</t>
  </si>
  <si>
    <t>11</t>
  </si>
  <si>
    <t>I.1.bc - I.1.f</t>
  </si>
  <si>
    <t>Köztemető fenntartással kapcsolatos feladatok támogatása - beszámítás után</t>
  </si>
  <si>
    <t>12</t>
  </si>
  <si>
    <t>I.1.bd - I.1.f</t>
  </si>
  <si>
    <t>Közutak fenntartásának támogatása - beszámítás után</t>
  </si>
  <si>
    <t>13</t>
  </si>
  <si>
    <t>I.1.c</t>
  </si>
  <si>
    <t>Egyéb önkormányzati feladatok támogatása</t>
  </si>
  <si>
    <t>14</t>
  </si>
  <si>
    <t>I.1.c - I.1.f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</si>
  <si>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</si>
  <si>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</si>
  <si>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</si>
  <si>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</si>
  <si>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</si>
  <si>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</si>
  <si>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I.1.f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</si>
  <si>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</si>
  <si>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</si>
  <si>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</si>
  <si>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</si>
  <si>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</si>
  <si>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</si>
  <si>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I.1.f</t>
  </si>
  <si>
    <t>Üdülőhelyi feladatok támogatása - beszámítás után</t>
  </si>
  <si>
    <t>19</t>
  </si>
  <si>
    <t>I.1.f beszámítás</t>
  </si>
  <si>
    <t>Beszámítás</t>
  </si>
  <si>
    <t>20</t>
  </si>
  <si>
    <t>I.1.f kiegészítés</t>
  </si>
  <si>
    <t>I.1. jogcímekhez kapcsolódó kiegészítés</t>
  </si>
  <si>
    <t>21</t>
  </si>
  <si>
    <t>I.1. - I.1.f</t>
  </si>
  <si>
    <t>A települési önkormányzatok működésének támogatása beszámítás és kiegészítés után</t>
  </si>
  <si>
    <t>22</t>
  </si>
  <si>
    <t>I.1.f Info</t>
  </si>
  <si>
    <t>Nem teljesült beszámítás/szolidaritási hozzájárulás alapja</t>
  </si>
  <si>
    <t>23</t>
  </si>
  <si>
    <t>V. 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</si>
  <si>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</si>
  <si>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</si>
  <si>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</si>
  <si>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</si>
  <si>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</si>
  <si>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</si>
  <si>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</si>
  <si>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</si>
  <si>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</si>
  <si>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</si>
  <si>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</si>
  <si>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Polgármesteri illetmény támogatása</t>
  </si>
  <si>
    <t>27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</si>
  <si>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</si>
  <si>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</si>
  <si>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</si>
  <si>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28</t>
  </si>
  <si>
    <t>II.1. (1)</t>
  </si>
  <si>
    <t>Pedagógusok elismert létszáma</t>
  </si>
  <si>
    <t>29</t>
  </si>
  <si>
    <t>II.1. (2)</t>
  </si>
  <si>
    <t>pedagógus szakképzettséggel nem rendelkező, pedagógusok nevelő munkáját közvetlenül segítők száma a Köznev. tv. 2. melléklete szerint</t>
  </si>
  <si>
    <t>30</t>
  </si>
  <si>
    <t>II.1. (3)</t>
  </si>
  <si>
    <t>pedagógus szakképzettséggel rendelkező, pedagógusok nevelő munkáját közvetlenül segítők száma a Köznev. tv. 2. melléklete szerint</t>
  </si>
  <si>
    <t>31</t>
  </si>
  <si>
    <t>II.1. (11)</t>
  </si>
  <si>
    <t>32</t>
  </si>
  <si>
    <t>II.1. (12)</t>
  </si>
  <si>
    <t>33</t>
  </si>
  <si>
    <t>II.1. (13)</t>
  </si>
  <si>
    <t>II.2. Óvodaműködtetési támogatás</t>
  </si>
  <si>
    <t>34</t>
  </si>
  <si>
    <t>II.2. (1)</t>
  </si>
  <si>
    <t>35</t>
  </si>
  <si>
    <t>II.2. (11)</t>
  </si>
  <si>
    <t xml:space="preserve">II.3. Társulás által fenntartott óvodákba bejáró gyermekek utaztatásának támogatása </t>
  </si>
  <si>
    <t>36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</si>
  <si>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</si>
  <si>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</si>
  <si>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</si>
  <si>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37</t>
  </si>
  <si>
    <t>II.4.a (1)</t>
  </si>
  <si>
    <t>Alapfokozatú végzettségű pedagógus II. kategóriába sorolt pedagógusok kiegészítő támogatása, akik a minősítést 2019. január 1-jei átsorolással szerezték meg</t>
  </si>
  <si>
    <t>38</t>
  </si>
  <si>
    <t>II.4.b (1)</t>
  </si>
  <si>
    <t>Alapfokozatú végzettségű pedagógus II. kategóriába sorolt pedagógusok kiegészítő támogatása, akik a minősítést 2020. január 1-jei átsorolással szerezték meg</t>
  </si>
  <si>
    <t>39</t>
  </si>
  <si>
    <t>II.4.a (2)</t>
  </si>
  <si>
    <t>Alapfokozatú végzettségű mesterpedagógus kategóriába sorolt pedagógusok kiegészítő támogatása, akik a minősítést 2019. január 1-jei átsorolással szerezték meg</t>
  </si>
  <si>
    <t>40</t>
  </si>
  <si>
    <t>II.4.b (2)</t>
  </si>
  <si>
    <t>Alapfokozatú végzettségű mesterpedagógus kategóriába sorolt pedagógusok kiegészítő támogatása, akik a minősítést 2020. január 1-jei átsorolással szerezték meg</t>
  </si>
  <si>
    <t>41</t>
  </si>
  <si>
    <t>II.4.a (3)</t>
  </si>
  <si>
    <t>Mesterfokozatú végzettségű pedagógus II. kategóriába sorolt pedagógusok kiegészítő támogatása, akik a minősítést 2019. január 1-jei átsorolással szerezték meg</t>
  </si>
  <si>
    <t>42</t>
  </si>
  <si>
    <t>II.4.b (3)</t>
  </si>
  <si>
    <t>Mesterfokozatú végzettségű pedagógus II. kategóriába sorolt pedagógusok kiegészítő támogatása, akik a minősítést 2020. január 1-jei átsorolással szerezték meg</t>
  </si>
  <si>
    <t>43</t>
  </si>
  <si>
    <t>II.4.a (4)</t>
  </si>
  <si>
    <t>Mesterfokozatú végzettségű mesterpedagógus kategóriába sorolt pedagógusok kiegészítő támogatása, akik a minősítést 2019. január 1-jei átsorolással szerezték meg</t>
  </si>
  <si>
    <t>44</t>
  </si>
  <si>
    <t>II.4.b (4)</t>
  </si>
  <si>
    <t>Mesterfokozatú végzettségű mesterpedagógus kategóriába sorolt pedagógusok kiegészítő támogatása, akik a minősítést 2020. január 1-jei átsorolással szerezték meg</t>
  </si>
  <si>
    <t>45</t>
  </si>
  <si>
    <t>II.4.a (5)</t>
  </si>
  <si>
    <t>46</t>
  </si>
  <si>
    <t>II.4.b (5)</t>
  </si>
  <si>
    <t>47</t>
  </si>
  <si>
    <t>II.4.a (6)</t>
  </si>
  <si>
    <t>48</t>
  </si>
  <si>
    <t>II.4.b (6)</t>
  </si>
  <si>
    <t>49</t>
  </si>
  <si>
    <t>II.4.a (7)</t>
  </si>
  <si>
    <t>50</t>
  </si>
  <si>
    <t>II.4.b (7)</t>
  </si>
  <si>
    <t>51</t>
  </si>
  <si>
    <t>II.4.a (8)</t>
  </si>
  <si>
    <t>52</t>
  </si>
  <si>
    <t>II.4.b (8)</t>
  </si>
  <si>
    <t>53</t>
  </si>
  <si>
    <t>II.5. (1)</t>
  </si>
  <si>
    <t>54</t>
  </si>
  <si>
    <t>II.5. (2)</t>
  </si>
  <si>
    <t>55</t>
  </si>
  <si>
    <t xml:space="preserve">II. </t>
  </si>
  <si>
    <t>A települési önkormányzatok egyes köznevelési feladatainak támogatása</t>
  </si>
  <si>
    <t>56</t>
  </si>
  <si>
    <t>III.1.</t>
  </si>
  <si>
    <t>A települési önkormányzatok szociális feladatainak egyéb támogatása</t>
  </si>
  <si>
    <t>57</t>
  </si>
  <si>
    <t>III.2.a</t>
  </si>
  <si>
    <t>Család- és gyermekjóléti szolgálat</t>
  </si>
  <si>
    <t>számított létszám</t>
  </si>
  <si>
    <t>58</t>
  </si>
  <si>
    <t>III.2.b</t>
  </si>
  <si>
    <t>Család- és gyermekjóléti központ</t>
  </si>
  <si>
    <t>59</t>
  </si>
  <si>
    <t>III.2.c (1)</t>
  </si>
  <si>
    <t>szociális étkeztetés</t>
  </si>
  <si>
    <t>60</t>
  </si>
  <si>
    <t>III.2.c (2)</t>
  </si>
  <si>
    <t>szociális étkeztetés - társulás által történő feladatellátás</t>
  </si>
  <si>
    <t>61</t>
  </si>
  <si>
    <t>III.2.da</t>
  </si>
  <si>
    <t>házi segítségnyújtás- szociális segítés</t>
  </si>
  <si>
    <t>62</t>
  </si>
  <si>
    <t>III.2.db (1)</t>
  </si>
  <si>
    <t>házi segítségnyújtás- személyi gondozás</t>
  </si>
  <si>
    <t>63</t>
  </si>
  <si>
    <t>III.2.db (2)</t>
  </si>
  <si>
    <t>házi segítségnyújtás- személyi gondozás -  társulás által történő feladatellátás</t>
  </si>
  <si>
    <t>64</t>
  </si>
  <si>
    <t>III.2.e</t>
  </si>
  <si>
    <t>falugondnoki vagy tanyagondnoki szolgáltatás összesen</t>
  </si>
  <si>
    <t>működési hó</t>
  </si>
  <si>
    <t>III.2.f Időskorúak nappali intézményi ellátása</t>
  </si>
  <si>
    <t>65</t>
  </si>
  <si>
    <t>III.2.f (1)</t>
  </si>
  <si>
    <t>időskorúak nappali intézményi ellátása</t>
  </si>
  <si>
    <t>66</t>
  </si>
  <si>
    <t>III.2.f (2)</t>
  </si>
  <si>
    <t>időskorúak nappali intézményi ellátása - társulás által történő feladatellátás</t>
  </si>
  <si>
    <t>67</t>
  </si>
  <si>
    <t>III.2.f (3)</t>
  </si>
  <si>
    <t>foglalkoztatási támogatásban részesülő időskorúak nappali intézményben ellátottak száma</t>
  </si>
  <si>
    <t>68</t>
  </si>
  <si>
    <t>III.2.f (4)</t>
  </si>
  <si>
    <t>foglalkoztatási támogatásban részesülő időskorúak nappali intézményben ellátottak száma - társulás által történő feladatellátás</t>
  </si>
  <si>
    <t>69</t>
  </si>
  <si>
    <t>III.2.g (1)</t>
  </si>
  <si>
    <t>fogyatékos személyek nappali intézményi ellátása</t>
  </si>
  <si>
    <t>70</t>
  </si>
  <si>
    <t>III.2.g (2)</t>
  </si>
  <si>
    <t>fogyatékos személyek nappali intézményi ellátása - társulás által történő feladatellátás</t>
  </si>
  <si>
    <t>71</t>
  </si>
  <si>
    <t>III.2.g (3)</t>
  </si>
  <si>
    <t>foglalkoztatási támogatásban részesülő fogyatékos nappali intézményben ellátottak száma</t>
  </si>
  <si>
    <t>72</t>
  </si>
  <si>
    <t>III.2.g (4)</t>
  </si>
  <si>
    <t>foglalkoztatási támogatásban részesülő fogyatékos nappali intézményben ellátottak száma - társulás által történő feladatellátás</t>
  </si>
  <si>
    <t>73</t>
  </si>
  <si>
    <t>III.2.g (5)</t>
  </si>
  <si>
    <t>demens személyek nappali intézményi ellátása</t>
  </si>
  <si>
    <t>74</t>
  </si>
  <si>
    <t>III.2.g (6)</t>
  </si>
  <si>
    <t>demens személyek nappali intézményi ellátása - társulás által történő feladatellátás</t>
  </si>
  <si>
    <t>75</t>
  </si>
  <si>
    <t>III.2.g (7)</t>
  </si>
  <si>
    <t>foglalkoztatási támogatásban részesülő, nappali intézményben ellátott demens személyek száma</t>
  </si>
  <si>
    <t>76</t>
  </si>
  <si>
    <t>III.2.g (8)</t>
  </si>
  <si>
    <t>foglalkoztatási támogatásban részesülő, nappali intézményben ellátott demens személyek száma - társulás által történő feladatellátás</t>
  </si>
  <si>
    <t>77</t>
  </si>
  <si>
    <t>III.2.h (1)</t>
  </si>
  <si>
    <t>pszichiátriai betegek nappali intézményi ellátása</t>
  </si>
  <si>
    <t>78</t>
  </si>
  <si>
    <t>III.2.h (2)</t>
  </si>
  <si>
    <t>pszichiátriai betegek nappali intézményi ellátása - társulás által történő feladatellátás</t>
  </si>
  <si>
    <t>79</t>
  </si>
  <si>
    <t>III.2.h (3)</t>
  </si>
  <si>
    <t>foglalkoztatási támogatásban részesülő, nappali intézményben ellátott pszichiátriai betegek száma</t>
  </si>
  <si>
    <t>80</t>
  </si>
  <si>
    <t>III.2.h (4)</t>
  </si>
  <si>
    <t>foglalkoztatási támogatásban részesülő, nappali intézményben ellátott pszichiátriai betegek száma - társulás által történő feladatellátás</t>
  </si>
  <si>
    <t>81</t>
  </si>
  <si>
    <t>III.2.h (5)</t>
  </si>
  <si>
    <t>szenvedélybetegek nappali intézményi ellátása</t>
  </si>
  <si>
    <t>82</t>
  </si>
  <si>
    <t>III.2.h (6)</t>
  </si>
  <si>
    <t>szenvedélybetegek nappali intézményi ellátása - társulás által történő feladatellátás</t>
  </si>
  <si>
    <t>83</t>
  </si>
  <si>
    <t>III.2.h (7)</t>
  </si>
  <si>
    <t>foglalkoztatási támogatásban részesülő, nappali intézményben ellátott szenvedélybetegek száma</t>
  </si>
  <si>
    <t>84</t>
  </si>
  <si>
    <t>III.2.h (8)</t>
  </si>
  <si>
    <t>foglalkoztatási támogatásban részesülő, nappali intézményben ellátott szenvedélybetegek száma - társulás által történő feladatellátás</t>
  </si>
  <si>
    <t>85</t>
  </si>
  <si>
    <t>III.2.i (1)</t>
  </si>
  <si>
    <t>hajléktalanok nappali intézményi ellátása</t>
  </si>
  <si>
    <t>86</t>
  </si>
  <si>
    <t>III.2.i (2)</t>
  </si>
  <si>
    <t>hajléktalanok nappali intézményi ellátása - társulás által történő feladatellátás</t>
  </si>
  <si>
    <t>III.2.j Családi bölcsőde</t>
  </si>
  <si>
    <t>87</t>
  </si>
  <si>
    <t>III.2.j (1)</t>
  </si>
  <si>
    <t>családi bölcsőde</t>
  </si>
  <si>
    <t>88</t>
  </si>
  <si>
    <t>III.2.j (2)</t>
  </si>
  <si>
    <t>családi bölcsőde - társulás által történő feladatellátás</t>
  </si>
  <si>
    <t>89</t>
  </si>
  <si>
    <t>III.2.j (3)</t>
  </si>
  <si>
    <t xml:space="preserve">Gyvt. 145. § (2c) bekezdés b) pontja alapján befogadást nyert napközbeni gyermekfelügyelet </t>
  </si>
  <si>
    <t>90</t>
  </si>
  <si>
    <t>III.2.k (1)</t>
  </si>
  <si>
    <t>hajléktalanok átmeneti szállása, éjjeli menedékhely összesen</t>
  </si>
  <si>
    <t>férőhely</t>
  </si>
  <si>
    <t>91</t>
  </si>
  <si>
    <t>III.2.k (6)</t>
  </si>
  <si>
    <t>hajléktalanok átmeneti szállása, éjjeli menedékhely összesen - társulás által történő feladatellátás</t>
  </si>
  <si>
    <t>92</t>
  </si>
  <si>
    <t>III.2.k (11)</t>
  </si>
  <si>
    <t xml:space="preserve">kizárólag lakhatási szolgáltatás </t>
  </si>
  <si>
    <t>93</t>
  </si>
  <si>
    <t>III.2.l (1)</t>
  </si>
  <si>
    <t>támogató szolgáltatás - alaptámogatás</t>
  </si>
  <si>
    <t>94</t>
  </si>
  <si>
    <t>III.2.l (2)</t>
  </si>
  <si>
    <t>támogató szolgáltatás - teljesítménytámogatás</t>
  </si>
  <si>
    <t>feladategység</t>
  </si>
  <si>
    <t>95</t>
  </si>
  <si>
    <t>III.2.ma (1)</t>
  </si>
  <si>
    <t>pszichiátriai betegek részére nyújtott közösségi alapellátás - alaptámogatás</t>
  </si>
  <si>
    <t>96</t>
  </si>
  <si>
    <t>III.2.ma (2)</t>
  </si>
  <si>
    <t>pszichiátriai betegek részére nyújtott közösségi alapellátás - teljesítménytámogatás</t>
  </si>
  <si>
    <t>97</t>
  </si>
  <si>
    <t>III.2.mb (1)</t>
  </si>
  <si>
    <t>szenvedélybetegek részére nyújtott közösségi alapellátás - alaptámogatás</t>
  </si>
  <si>
    <t>98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</si>
  <si>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</si>
  <si>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</si>
  <si>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</si>
  <si>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99</t>
  </si>
  <si>
    <t>III.2.n</t>
  </si>
  <si>
    <t>Óvodai és iskolai szociális segítő tevékenység támogatása</t>
  </si>
  <si>
    <t>III.3 Bölcsőde, mini bölcsőde támogatása</t>
  </si>
  <si>
    <t>100</t>
  </si>
  <si>
    <t xml:space="preserve"> III.3.a (1)</t>
  </si>
  <si>
    <t>A finanszírozás szempontjából elismert szakmai dolgozók bértámogatása: felsőfokú végzettségű kisgyermeknevelők, szaktanácsadók</t>
  </si>
  <si>
    <t>101</t>
  </si>
  <si>
    <t xml:space="preserve"> III.3.a (2)</t>
  </si>
  <si>
    <t>A finanszírozás szempontjából elismert szakmai dolgozók bértámogatása: bölcsődei dajkák, középfokú végzettségű kisgyermeknevelők, szaktanácsadók</t>
  </si>
  <si>
    <t>102</t>
  </si>
  <si>
    <t xml:space="preserve"> III.3.b</t>
  </si>
  <si>
    <t>Bölcsődei üzemeltetési támogatás</t>
  </si>
  <si>
    <t>103</t>
  </si>
  <si>
    <t>III.4.a</t>
  </si>
  <si>
    <t>A finanszírozás szempontjából elismert szakmai dolgozók bértámogatása</t>
  </si>
  <si>
    <t>104</t>
  </si>
  <si>
    <t>III.4.b</t>
  </si>
  <si>
    <t>Intézmény-üzemeltetési támogatás</t>
  </si>
  <si>
    <t>105</t>
  </si>
  <si>
    <t>III.5.aa)</t>
  </si>
  <si>
    <t>A finanszírozás szempontjából elismert dolgozók bértámogatása</t>
  </si>
  <si>
    <t>106</t>
  </si>
  <si>
    <t>III.5.ab)</t>
  </si>
  <si>
    <t>Gyermekétkeztetés üzemeltetési támogatása</t>
  </si>
  <si>
    <t>107</t>
  </si>
  <si>
    <t>III.5.b)</t>
  </si>
  <si>
    <t>A rászoruló gyermekek szünidei étkeztetésének támogatása</t>
  </si>
  <si>
    <t>108</t>
  </si>
  <si>
    <t>III.</t>
  </si>
  <si>
    <t>A települési önkormányzatok szociális, gyermekjóléti és gyermekétkeztetési feladatainak támogatása</t>
  </si>
  <si>
    <t>109</t>
  </si>
  <si>
    <t>IV.a</t>
  </si>
  <si>
    <t xml:space="preserve">Megyeszékhely megyei jogú városok és Szentendre Város Önkormányzata közművelődési feladatainak támogatása </t>
  </si>
  <si>
    <t>110</t>
  </si>
  <si>
    <t>IV.b</t>
  </si>
  <si>
    <t>Települési önkormányzatok nyilvános könyvtári és a közművelődési feladatainak támogatása</t>
  </si>
  <si>
    <t>111</t>
  </si>
  <si>
    <t>IV.c</t>
  </si>
  <si>
    <t xml:space="preserve">Budapest Főváros Önkormányzata múzeumi, könyvtári és közművelődési feladatainak támogatása </t>
  </si>
  <si>
    <t>112</t>
  </si>
  <si>
    <t>IV.d</t>
  </si>
  <si>
    <t>Fővárosi kerületi önkormányzatok közművelődési feladatainak támogatása</t>
  </si>
  <si>
    <t>113</t>
  </si>
  <si>
    <t>IV.e</t>
  </si>
  <si>
    <t xml:space="preserve">Megyei hatókörű városi könyvtár kistelepülési könyvtári célú kiegészítő támogatása </t>
  </si>
  <si>
    <t>114</t>
  </si>
  <si>
    <t>IV.</t>
  </si>
  <si>
    <t>A települési önkormányzatokkulturális feladatainak támogatása</t>
  </si>
  <si>
    <t>2020. évi előirányzat</t>
  </si>
  <si>
    <t>Szada Nagyközség Önkormányzat 2020. évi költségvetési terve (kormányzati funkciók és kiemelt előirányzatok szerinti bontásban) (Ft-ban)</t>
  </si>
  <si>
    <t>Szada Nagyközség Önkormányzata és az általa irányított költségvetési szervek 2020. évi bevételei forrásonként ( Forintban)</t>
  </si>
  <si>
    <t xml:space="preserve">Szada Nagyközség Önkormányzata és az általa irányított költségvetési szervek 2020. évi kiadásai </t>
  </si>
  <si>
    <t>Székely Bertalan Óvoda-Bölcsőde</t>
  </si>
  <si>
    <t>SzékelyBertalan Művelődési Ház és Könyvtár</t>
  </si>
  <si>
    <t>2020.  évi  felhalmozási kiadásai</t>
  </si>
  <si>
    <t>Szada Nagyközség  Önkormányzata adósságot keletkeztető kötelezettségvállalás felső határa</t>
  </si>
  <si>
    <t>2020. év</t>
  </si>
  <si>
    <t>Szada nagyközség Önkormányzat és költségvetési szervei létszám adatairól</t>
  </si>
  <si>
    <t>Záró létszám összesen            2019. december 31.</t>
  </si>
  <si>
    <t>Nyitó létszám összesen                                             2020. január 01.</t>
  </si>
  <si>
    <t>2. Székely Bertalan Óvoda-Bölcsőde</t>
  </si>
  <si>
    <t>3. SzékelyBertalan Művelődési Ház és Könyvtár</t>
  </si>
  <si>
    <t>4. Szadai Gyermekélelmezési és Szociális étkeztetési Konyha</t>
  </si>
  <si>
    <t>5. Szada Község Szociális és Gyermekjóléti Alapszolgáltatási Központ</t>
  </si>
  <si>
    <t>2020.év</t>
  </si>
  <si>
    <t>Önkormányzat (önkormányzati szinten)</t>
  </si>
  <si>
    <t>K914</t>
  </si>
  <si>
    <t>Településfejlesztés</t>
  </si>
  <si>
    <t>Szada önkormányzati utak felújítása és építése Trans Motors Kft</t>
  </si>
  <si>
    <t>129/2018. (10.31.)</t>
  </si>
  <si>
    <t>Minibölcsőde önerő</t>
  </si>
  <si>
    <t>Minibölcsőde általános projektmenedzsmenti feladatok (Pro Régio)</t>
  </si>
  <si>
    <t>98/2019. (10.01.)</t>
  </si>
  <si>
    <t>149/2018.(11.29.)</t>
  </si>
  <si>
    <t>Dr. Balázs Regia szakmai minimumfeltételek biztosítása</t>
  </si>
  <si>
    <t>Minibölcsőde tervezés (felmérési, építészeti vázlat, kiviteli pallérterv)</t>
  </si>
  <si>
    <t>Minibölcsőde pályázat beadás (Pro Régio)</t>
  </si>
  <si>
    <t>Jókai u. útépítés önerő</t>
  </si>
  <si>
    <t>50/2019. (05.13.)</t>
  </si>
  <si>
    <t>Jókai u. útépítés projektmenedzseri feladatok (Pilishő)</t>
  </si>
  <si>
    <t>Jókai u. útépítés kivitelezés</t>
  </si>
  <si>
    <t>Minibölcsőde kivitelezés</t>
  </si>
  <si>
    <t>Piac  kivitelezés</t>
  </si>
  <si>
    <t>2020. évi beruházások</t>
  </si>
  <si>
    <t>10.  Önkormányzat-technikai alkalmazottak</t>
  </si>
  <si>
    <t>Szada Nagyközség Önkormányzat összesen (1.+...+10.):</t>
  </si>
  <si>
    <t>Magyar Közútkezelő szsz. Tartalékkeret</t>
  </si>
  <si>
    <t>Építményadó</t>
  </si>
  <si>
    <t>K513</t>
  </si>
  <si>
    <t xml:space="preserve"> - Telekadó + építményadó</t>
  </si>
  <si>
    <t>K915</t>
  </si>
  <si>
    <t>Széchenyi út</t>
  </si>
  <si>
    <t>Közmű iskola</t>
  </si>
  <si>
    <t>Játszótér</t>
  </si>
  <si>
    <t>Védőnő parkoló</t>
  </si>
  <si>
    <t>Felújítások mindösszesen:</t>
  </si>
  <si>
    <t>Piac 10 % tartalék keret</t>
  </si>
  <si>
    <t>Bölcsi 10 % tartalék</t>
  </si>
  <si>
    <t>sz sz</t>
  </si>
  <si>
    <t>Piac  önerő</t>
  </si>
  <si>
    <t>Ingatlan vásárlás + Postaköz is</t>
  </si>
  <si>
    <t>Projektor-ponyva + tárgyaló asztal székekkel</t>
  </si>
  <si>
    <t>ebből - Működési célú tartalékok</t>
  </si>
  <si>
    <t>Szada Szociális és Alapszolgáltatási Központ</t>
  </si>
  <si>
    <t>Szadai Gyermekélelmezési és Szociális Étkeztetési Konyha</t>
  </si>
  <si>
    <t>082092</t>
  </si>
  <si>
    <t>Közművelődés - hagyományos közösségi kulturális értékek gondozása</t>
  </si>
  <si>
    <t>Szociális étkeztetés</t>
  </si>
  <si>
    <t>Megelőlegezés visszafizetése</t>
  </si>
  <si>
    <t>Önkormányzatok funkcióra nem sorolható bevételei államháztartáson kívülről</t>
  </si>
  <si>
    <t>Piac műszaki ellenőri feladatok (Csiky) KT határozat 81/2019(08.29.)</t>
  </si>
  <si>
    <t>Minibölcsőde kműszaki ellenőri feladatok (Csiky) KT határozat 80/2019(08.29.)</t>
  </si>
  <si>
    <t>Jókai u. útépítés műszaki ellenőri feladatok (Csiky) KT határozat 86/2019(08.29.)</t>
  </si>
  <si>
    <t>Piac Pro Regio KT határozat 97/2019(10.01.)</t>
  </si>
  <si>
    <t>99/2019. (10.01.)</t>
  </si>
  <si>
    <t xml:space="preserve">Piac Pro Regio KT határozat </t>
  </si>
  <si>
    <t>Jókai u. útépítés pályázat beadás (Pilishő) 49/2019(05.13.)</t>
  </si>
  <si>
    <t>Szada Nagyközség Önkormányzat</t>
  </si>
  <si>
    <t>v.sz.sz.</t>
  </si>
  <si>
    <t>Piac Elmű Hálózat</t>
  </si>
  <si>
    <t>80/2019. (08.29.)</t>
  </si>
  <si>
    <t>86/2019. (08.29.)</t>
  </si>
  <si>
    <t>49/2019. (05.13.)</t>
  </si>
  <si>
    <t>81/2019. (08.29.)</t>
  </si>
  <si>
    <t>97/2019. (10.01.)</t>
  </si>
  <si>
    <t>Bölcsöde eszközbeszerzés</t>
  </si>
  <si>
    <t>2020 évi EI</t>
  </si>
  <si>
    <t>2020. évi eredeti előirányzat</t>
  </si>
  <si>
    <t>2020. évi eredeti  előirányzat</t>
  </si>
  <si>
    <t>2020. évi Eredeti előirányzat</t>
  </si>
  <si>
    <t>Bontás Dózsa Gy út 65</t>
  </si>
  <si>
    <t>Dózsa György út korlát kihelyezése</t>
  </si>
  <si>
    <t>65/2020. (VI.25.)</t>
  </si>
  <si>
    <t>2020.06.30. MEI</t>
  </si>
  <si>
    <t>2020.06.30. módosított előirányzat</t>
  </si>
  <si>
    <t>Módosított előirányzat 06.30</t>
  </si>
  <si>
    <t>2020.06.30.  módosított  előirányzat</t>
  </si>
  <si>
    <t>2020.06.30. módosított  előirányzat</t>
  </si>
  <si>
    <t>2020.06.30. Módosított előirányzat</t>
  </si>
  <si>
    <r>
      <t xml:space="preserve">   Működési költségvetés kiadásai </t>
    </r>
    <r>
      <rPr>
        <sz val="10"/>
        <rFont val="Times New Roman CE"/>
        <family val="1"/>
      </rPr>
      <t>(1.1+…+1.5+1.18.)</t>
    </r>
  </si>
  <si>
    <r>
      <t xml:space="preserve">   Felhalmozási költségvetés kiadásai </t>
    </r>
    <r>
      <rPr>
        <sz val="10"/>
        <rFont val="Times New Roman CE"/>
        <family val="1"/>
      </rPr>
      <t>(2.1.+2.3.+2.5.)</t>
    </r>
  </si>
  <si>
    <t>2020.06.30. TELJ</t>
  </si>
  <si>
    <t>2020.06.30. teljesítés</t>
  </si>
  <si>
    <t>Teljesítés 06.30</t>
  </si>
  <si>
    <t>Előirányzat 2020.06.30</t>
  </si>
  <si>
    <t>Teljesítés 2020.06.30</t>
  </si>
  <si>
    <t>Állami támogatás összesen</t>
  </si>
  <si>
    <t>Polgármesteri  Hivatal</t>
  </si>
  <si>
    <t>B411</t>
  </si>
  <si>
    <t>Tárgyévi megelőlegezés</t>
  </si>
  <si>
    <t>Gazdasági Szervezettel nem rendelkező költségvetési Intézmények 2020. évi költségvetés teljesítése 2020.06.30. (Ft-ban)</t>
  </si>
  <si>
    <t>Központi költségvetéstől kapott</t>
  </si>
  <si>
    <t xml:space="preserve">Önkormányzati finanszírozás </t>
  </si>
  <si>
    <t>Szadai  Polgármesteri Hivatal 2020. évi költségvetésének teljesítése 2020.06.30.  (kormányzati funkciók és kiemelt előirányzatok szerinti bontásban)</t>
  </si>
  <si>
    <t>Irányító szervi támogatás/tárgyévi megelőlegezés</t>
  </si>
  <si>
    <t>Egyéb működési célú átadott pénzeszközök (Áht-n kívülre)</t>
  </si>
  <si>
    <t>Törvényi előíráson alapuló befizetések</t>
  </si>
  <si>
    <t>011320</t>
  </si>
  <si>
    <t>013320</t>
  </si>
  <si>
    <t>016080</t>
  </si>
  <si>
    <t>018010</t>
  </si>
  <si>
    <t>018020</t>
  </si>
  <si>
    <t>022010</t>
  </si>
  <si>
    <t>032020</t>
  </si>
  <si>
    <t>045140</t>
  </si>
  <si>
    <t>045160</t>
  </si>
  <si>
    <t>051030</t>
  </si>
  <si>
    <t>052080</t>
  </si>
  <si>
    <t>053010</t>
  </si>
  <si>
    <t>062020</t>
  </si>
  <si>
    <t>063080</t>
  </si>
  <si>
    <t>064010</t>
  </si>
  <si>
    <t>066010</t>
  </si>
  <si>
    <t>081030</t>
  </si>
  <si>
    <t>084070</t>
  </si>
  <si>
    <t>086030</t>
  </si>
  <si>
    <t>107051</t>
  </si>
  <si>
    <t>072311</t>
  </si>
  <si>
    <t>Fogorvosi alapellátás</t>
  </si>
  <si>
    <t>Teljesítés</t>
  </si>
  <si>
    <t>074040</t>
  </si>
  <si>
    <t>Fertőző megbetegedések megelőzése, járványügyi ellátás</t>
  </si>
  <si>
    <t>Civil szervezetek működési támogatása</t>
  </si>
  <si>
    <t>084031</t>
  </si>
  <si>
    <t>086020</t>
  </si>
  <si>
    <t>Helyi, térségi közösségi tér biztosítása, működtetése</t>
  </si>
  <si>
    <t>045120</t>
  </si>
  <si>
    <t>Út, autópálya építése</t>
  </si>
  <si>
    <t>Irányító szervi támogatás és tárgyévi megelőlegezés</t>
  </si>
  <si>
    <t>Szada Nagyközség Önkormányzatának 2020. évi költségvetésének teljesítése 2020.06.30 (Forint)</t>
  </si>
  <si>
    <t>Szociális ágazati pótlék</t>
  </si>
  <si>
    <t>Kulturális illetménypótlék</t>
  </si>
  <si>
    <t>2020.06.30. Teljesítés</t>
  </si>
  <si>
    <t>Jókai u 10 %</t>
  </si>
  <si>
    <t>2019. évi beruházások</t>
  </si>
  <si>
    <t>17/2020. (IV.30.)</t>
  </si>
  <si>
    <t>Szennyvíz-csatorna bekötés  Csapás utca 4458 hrsz,Konc köz 748/2 hrsz,Szabadság utca 790/7 hrsz.,Csapás utca 3832 hrsz</t>
  </si>
  <si>
    <t>Sportpálya villamos mérőhely és elosztószekrény telepítése + hálózatfejlesztés</t>
  </si>
  <si>
    <t>Dell Inspiron 15 3000 notebook, Windows 10 Pro 64-bit HUN, M</t>
  </si>
  <si>
    <t>DWC szerver (i3, 16GB, 2*4TB), Dell PowerEdge szerver, Windo</t>
  </si>
  <si>
    <t>Asus SDRW-08U9M-U Zendrive Slim, Logitech M185 wless egér</t>
  </si>
  <si>
    <t>Fortigate 5 x GE RJ45 ports, Max Managed FortiAPs 2/2 - FG-3</t>
  </si>
  <si>
    <t>HP NB HP 65 W intelligens hálózati adapter (3 db), Kingston</t>
  </si>
  <si>
    <t>Kingston Client Premier NB memória  (9 db), Samsung 250 GB m</t>
  </si>
  <si>
    <t>Genius vezetékes billentyűzet és egér KM-200 USB HUN Fekete</t>
  </si>
  <si>
    <t>TP-Link Wireless Adapter USB Dual Band AC600, Archer T2U Plu</t>
  </si>
  <si>
    <t>LG 75" 4K UHD Smart Led TV</t>
  </si>
  <si>
    <t>Asztalok készítése, gurulós konténer</t>
  </si>
  <si>
    <t>Anyakönyvi szalag</t>
  </si>
  <si>
    <t>Víztisztító</t>
  </si>
  <si>
    <t>Infrahőmérő</t>
  </si>
  <si>
    <t>Fényképezőgép, memóriakártya, adapter, táska</t>
  </si>
  <si>
    <t>SE62 porszívó, porzsák</t>
  </si>
  <si>
    <t>Dózsa György út - Kisfaludy utca gyalogátkelőhely építése pótmunka</t>
  </si>
  <si>
    <t>Dózsa György út - Vasút utca gyalogátkelőhely építése pótmunka</t>
  </si>
  <si>
    <t>Dózsa György út - Buckai utca gyalogátkelőhely építése pótmunka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</si>
</sst>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,##0.0"/>
    <numFmt numFmtId="168" formatCode="_-* #,##0\ _F_t_-;\-* #,##0\ _F_t_-;_-* &quot;- &quot;_F_t_-;_-@_-"/>
    <numFmt numFmtId="169" formatCode="_-* #,##0\ _F_t_-;\-* #,##0\ _F_t_-;_-* &quot;-&quot;??\ _F_t_-;_-@_-"/>
    <numFmt numFmtId="170" formatCode="\ #,##0&quot;     &quot;;\-#,##0&quot;     &quot;;&quot; -&quot;#&quot;     &quot;;@\ "/>
    <numFmt numFmtId="171" formatCode="\ #,##0.00&quot;     &quot;;\-#,##0.00&quot;     &quot;;&quot; -&quot;#&quot;     &quot;;@\ "/>
    <numFmt numFmtId="172" formatCode="mmm\ d/"/>
    <numFmt numFmtId="173" formatCode="0&quot;  &quot;"/>
    <numFmt numFmtId="174" formatCode="0.0000"/>
    <numFmt numFmtId="175" formatCode="_-* #,##0.00\ _F_t_-;\-* #,##0.00\ _F_t_-;_-* \-??\ _F_t_-;_-@_-"/>
    <numFmt numFmtId="176" formatCode="0.000"/>
    <numFmt numFmtId="177" formatCode="_-* #,##0.0\ _F_t_-;\-* #,##0.0\ _F_t_-;_-* &quot;-&quot;??\ _F_t_-;_-@_-"/>
    <numFmt numFmtId="178" formatCode="0.00000000"/>
    <numFmt numFmtId="179" formatCode="0.0%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0.0"/>
    <numFmt numFmtId="187" formatCode="[$-40E]yyyy\.\ mmmm\ d\.\,\ dddd"/>
    <numFmt numFmtId="188" formatCode="_-* #,##0_-;\-* #,##0_-;_-* &quot;-&quot;??_-;_-@_-"/>
    <numFmt numFmtId="189" formatCode="#,##0.000"/>
    <numFmt numFmtId="190" formatCode="0.000%"/>
    <numFmt numFmtId="191" formatCode="#,###.0"/>
    <numFmt numFmtId="192" formatCode="#,###.00"/>
    <numFmt numFmtId="193" formatCode="#,###.000"/>
  </numFmts>
  <fonts count="85">
    <font>
      <sz val="10"/>
      <name val="Times New Roman CE"/>
      <family val="1"/>
    </font>
    <font>
      <sz val="10"/>
      <name val="Arial"/>
      <family val="0"/>
    </font>
    <font>
      <sz val="8"/>
      <name val="Times New Roman CE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8"/>
      <name val="Times New Roman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0"/>
      <name val="Book Antiqua"/>
      <family val="1"/>
    </font>
    <font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</cellStyleXfs>
  <cellXfs count="784">
    <xf numFmtId="0" fontId="0" fillId="0" borderId="0" xfId="0" applyAlignment="1">
      <alignment/>
    </xf>
    <xf numFmtId="166" fontId="7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vertical="center" wrapText="1"/>
    </xf>
    <xf numFmtId="0" fontId="9" fillId="0" borderId="0" xfId="0" applyFont="1" applyAlignment="1" applyProtection="1">
      <alignment horizontal="right" vertical="top"/>
      <protection locked="0"/>
    </xf>
    <xf numFmtId="3" fontId="7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inden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 vertical="center" inden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0" fillId="0" borderId="18" xfId="0" applyNumberFormat="1" applyFont="1" applyBorder="1" applyAlignment="1">
      <alignment horizontal="right" vertical="center" wrapText="1" inden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4" xfId="63" applyFont="1" applyBorder="1" applyAlignment="1">
      <alignment horizontal="center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left" vertical="center" wrapText="1" indent="1"/>
      <protection/>
    </xf>
    <xf numFmtId="166" fontId="12" fillId="0" borderId="20" xfId="63" applyNumberFormat="1" applyFont="1" applyBorder="1" applyAlignment="1">
      <alignment horizontal="right" vertical="center" wrapText="1" indent="1"/>
      <protection/>
    </xf>
    <xf numFmtId="0" fontId="13" fillId="0" borderId="21" xfId="0" applyFont="1" applyBorder="1" applyAlignment="1">
      <alignment horizontal="left" wrapText="1" indent="1"/>
    </xf>
    <xf numFmtId="3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22" xfId="0" applyFont="1" applyBorder="1" applyAlignment="1">
      <alignment horizontal="left" wrapText="1" indent="1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23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vertical="center" wrapText="1" indent="1"/>
    </xf>
    <xf numFmtId="3" fontId="17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6" fontId="12" fillId="0" borderId="20" xfId="63" applyNumberFormat="1" applyFont="1" applyBorder="1" applyAlignment="1">
      <alignment horizontal="right" vertical="center" wrapText="1" indent="1"/>
      <protection/>
    </xf>
    <xf numFmtId="0" fontId="2" fillId="0" borderId="22" xfId="63" applyFont="1" applyBorder="1" applyAlignment="1">
      <alignment horizontal="center"/>
      <protection/>
    </xf>
    <xf numFmtId="49" fontId="2" fillId="0" borderId="24" xfId="63" applyNumberFormat="1" applyFont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left" wrapText="1" indent="1"/>
    </xf>
    <xf numFmtId="166" fontId="2" fillId="0" borderId="25" xfId="63" applyNumberFormat="1" applyFont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vertical="center" wrapText="1"/>
    </xf>
    <xf numFmtId="3" fontId="62" fillId="0" borderId="0" xfId="0" applyNumberFormat="1" applyFont="1" applyAlignment="1">
      <alignment vertical="center" wrapText="1"/>
    </xf>
    <xf numFmtId="166" fontId="0" fillId="0" borderId="25" xfId="63" applyNumberFormat="1" applyFont="1" applyBorder="1" applyAlignment="1" applyProtection="1">
      <alignment horizontal="right" vertical="center" wrapText="1" indent="1"/>
      <protection locked="0"/>
    </xf>
    <xf numFmtId="3" fontId="63" fillId="0" borderId="0" xfId="0" applyNumberFormat="1" applyFont="1" applyAlignment="1">
      <alignment vertical="center" wrapText="1"/>
    </xf>
    <xf numFmtId="166" fontId="0" fillId="0" borderId="26" xfId="63" applyNumberFormat="1" applyFont="1" applyBorder="1" applyAlignment="1" applyProtection="1">
      <alignment horizontal="right" vertical="center" wrapText="1" indent="1"/>
      <protection locked="0"/>
    </xf>
    <xf numFmtId="166" fontId="0" fillId="0" borderId="27" xfId="63" applyNumberFormat="1" applyFont="1" applyBorder="1" applyAlignment="1" applyProtection="1">
      <alignment horizontal="right" vertical="center" wrapText="1" indent="1"/>
      <protection locked="0"/>
    </xf>
    <xf numFmtId="0" fontId="0" fillId="0" borderId="23" xfId="63" applyFont="1" applyBorder="1" applyAlignment="1">
      <alignment horizontal="center"/>
      <protection/>
    </xf>
    <xf numFmtId="0" fontId="16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166" fontId="0" fillId="0" borderId="11" xfId="63" applyNumberFormat="1" applyFont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>
      <alignment horizontal="left" wrapText="1" indent="1"/>
    </xf>
    <xf numFmtId="166" fontId="0" fillId="0" borderId="28" xfId="63" applyNumberFormat="1" applyFont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66" fontId="17" fillId="0" borderId="0" xfId="63" applyNumberFormat="1" applyFont="1" applyAlignment="1">
      <alignment horizontal="right" vertical="center" wrapText="1" indent="1"/>
      <protection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166" fontId="17" fillId="0" borderId="0" xfId="0" applyNumberFormat="1" applyFont="1" applyAlignment="1">
      <alignment horizontal="right" vertical="center" wrapText="1" inden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166" fontId="12" fillId="0" borderId="30" xfId="0" applyNumberFormat="1" applyFont="1" applyBorder="1" applyAlignment="1">
      <alignment horizontal="right" vertical="center" wrapText="1" indent="1"/>
    </xf>
    <xf numFmtId="0" fontId="20" fillId="0" borderId="14" xfId="0" applyFont="1" applyBorder="1" applyAlignment="1">
      <alignment vertical="center" wrapText="1"/>
    </xf>
    <xf numFmtId="0" fontId="12" fillId="0" borderId="16" xfId="63" applyFont="1" applyBorder="1" applyAlignment="1">
      <alignment vertical="center" wrapText="1"/>
      <protection/>
    </xf>
    <xf numFmtId="3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31" xfId="63" applyFont="1" applyBorder="1" applyAlignment="1">
      <alignment horizontal="center"/>
      <protection/>
    </xf>
    <xf numFmtId="0" fontId="0" fillId="0" borderId="32" xfId="63" applyFont="1" applyBorder="1" applyAlignment="1">
      <alignment horizontal="center"/>
      <protection/>
    </xf>
    <xf numFmtId="0" fontId="0" fillId="0" borderId="14" xfId="63" applyFont="1" applyBorder="1" applyAlignment="1">
      <alignment horizontal="center"/>
      <protection/>
    </xf>
    <xf numFmtId="0" fontId="2" fillId="0" borderId="32" xfId="63" applyFont="1" applyBorder="1" applyAlignment="1">
      <alignment horizontal="center"/>
      <protection/>
    </xf>
    <xf numFmtId="49" fontId="2" fillId="0" borderId="33" xfId="63" applyNumberFormat="1" applyFont="1" applyBorder="1" applyAlignment="1">
      <alignment horizontal="center" vertical="center" wrapText="1"/>
      <protection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34" xfId="63" applyNumberFormat="1" applyFont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0" fontId="2" fillId="0" borderId="21" xfId="63" applyFont="1" applyBorder="1" applyAlignment="1">
      <alignment horizontal="left" vertical="center" wrapText="1" indent="6"/>
      <protection/>
    </xf>
    <xf numFmtId="0" fontId="12" fillId="0" borderId="16" xfId="63" applyFont="1" applyBorder="1" applyAlignment="1">
      <alignment horizontal="left" vertical="center" wrapText="1" indent="1"/>
      <protection/>
    </xf>
    <xf numFmtId="0" fontId="12" fillId="0" borderId="35" xfId="63" applyFont="1" applyBorder="1" applyAlignment="1">
      <alignment horizontal="center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 indent="1"/>
      <protection/>
    </xf>
    <xf numFmtId="166" fontId="0" fillId="0" borderId="18" xfId="63" applyNumberFormat="1" applyFont="1" applyBorder="1" applyAlignment="1">
      <alignment horizontal="right" vertical="center" wrapText="1" indent="1"/>
      <protection/>
    </xf>
    <xf numFmtId="0" fontId="12" fillId="0" borderId="31" xfId="63" applyFont="1" applyBorder="1" applyAlignment="1">
      <alignment horizontal="center"/>
      <protection/>
    </xf>
    <xf numFmtId="166" fontId="16" fillId="0" borderId="20" xfId="0" applyNumberFormat="1" applyFont="1" applyBorder="1" applyAlignment="1">
      <alignment horizontal="right" vertical="center" wrapText="1" indent="1"/>
    </xf>
    <xf numFmtId="0" fontId="0" fillId="0" borderId="36" xfId="0" applyFont="1" applyBorder="1" applyAlignment="1">
      <alignment vertical="center" wrapText="1"/>
    </xf>
    <xf numFmtId="166" fontId="16" fillId="0" borderId="20" xfId="0" applyNumberFormat="1" applyFont="1" applyBorder="1" applyAlignment="1" quotePrefix="1">
      <alignment horizontal="right" vertical="center" wrapText="1" indent="1"/>
    </xf>
    <xf numFmtId="0" fontId="0" fillId="0" borderId="14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 applyProtection="1">
      <alignment horizontal="right" vertical="center" wrapText="1" indent="1"/>
      <protection locked="0"/>
    </xf>
    <xf numFmtId="3" fontId="0" fillId="0" borderId="0" xfId="0" applyNumberFormat="1" applyFont="1" applyAlignment="1">
      <alignment horizontal="right" vertical="center" wrapText="1" indent="1"/>
    </xf>
    <xf numFmtId="166" fontId="17" fillId="0" borderId="14" xfId="0" applyNumberFormat="1" applyFont="1" applyBorder="1" applyAlignment="1">
      <alignment horizontal="center" vertical="center" wrapText="1"/>
    </xf>
    <xf numFmtId="166" fontId="17" fillId="0" borderId="39" xfId="0" applyNumberFormat="1" applyFont="1" applyBorder="1" applyAlignment="1">
      <alignment horizontal="center" vertical="center" wrapText="1"/>
    </xf>
    <xf numFmtId="166" fontId="17" fillId="0" borderId="16" xfId="0" applyNumberFormat="1" applyFont="1" applyBorder="1" applyAlignment="1">
      <alignment horizontal="center" vertical="center" wrapText="1"/>
    </xf>
    <xf numFmtId="166" fontId="17" fillId="0" borderId="20" xfId="0" applyNumberFormat="1" applyFont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left" vertical="center" wrapText="1" indent="1"/>
    </xf>
    <xf numFmtId="166" fontId="17" fillId="0" borderId="39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right" vertical="center" wrapText="1" indent="1"/>
    </xf>
    <xf numFmtId="166" fontId="17" fillId="0" borderId="20" xfId="0" applyNumberFormat="1" applyFont="1" applyBorder="1" applyAlignment="1">
      <alignment horizontal="right" vertical="center" wrapText="1" indent="1"/>
    </xf>
    <xf numFmtId="166" fontId="2" fillId="0" borderId="40" xfId="0" applyNumberFormat="1" applyFont="1" applyBorder="1" applyAlignment="1">
      <alignment horizontal="left" vertical="center" wrapText="1" indent="1"/>
    </xf>
    <xf numFmtId="166" fontId="22" fillId="0" borderId="17" xfId="0" applyNumberFormat="1" applyFont="1" applyBorder="1" applyAlignment="1">
      <alignment horizontal="right" vertical="center" wrapText="1" indent="1"/>
    </xf>
    <xf numFmtId="166" fontId="2" fillId="0" borderId="32" xfId="0" applyNumberFormat="1" applyFont="1" applyBorder="1" applyAlignment="1">
      <alignment horizontal="left" vertical="center" wrapText="1" indent="1"/>
    </xf>
    <xf numFmtId="166" fontId="2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2" xfId="0" applyNumberFormat="1" applyFont="1" applyBorder="1" applyAlignment="1">
      <alignment horizontal="left" vertical="center" wrapText="1" indent="1"/>
    </xf>
    <xf numFmtId="166" fontId="2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2" fillId="0" borderId="22" xfId="0" applyNumberFormat="1" applyFont="1" applyBorder="1" applyAlignment="1">
      <alignment horizontal="right" vertical="center" wrapText="1" indent="1"/>
    </xf>
    <xf numFmtId="166" fontId="2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Border="1" applyAlignment="1">
      <alignment horizontal="left" vertical="center" wrapText="1" indent="1"/>
    </xf>
    <xf numFmtId="166" fontId="17" fillId="0" borderId="44" xfId="0" applyNumberFormat="1" applyFont="1" applyBorder="1" applyAlignment="1">
      <alignment horizontal="right" vertical="center" wrapText="1" indent="1"/>
    </xf>
    <xf numFmtId="166" fontId="17" fillId="0" borderId="45" xfId="0" applyNumberFormat="1" applyFont="1" applyBorder="1" applyAlignment="1">
      <alignment horizontal="right" vertical="center" wrapText="1" indent="1"/>
    </xf>
    <xf numFmtId="166" fontId="12" fillId="0" borderId="39" xfId="0" applyNumberFormat="1" applyFont="1" applyBorder="1" applyAlignment="1">
      <alignment horizontal="left" vertical="center" wrapText="1" indent="1"/>
    </xf>
    <xf numFmtId="166" fontId="12" fillId="0" borderId="20" xfId="0" applyNumberFormat="1" applyFont="1" applyBorder="1" applyAlignment="1">
      <alignment horizontal="right" vertical="center" wrapText="1" indent="1"/>
    </xf>
    <xf numFmtId="166" fontId="12" fillId="0" borderId="0" xfId="0" applyNumberFormat="1" applyFont="1" applyAlignment="1">
      <alignment horizontal="left" vertical="center" wrapText="1" indent="1"/>
    </xf>
    <xf numFmtId="166" fontId="12" fillId="0" borderId="0" xfId="0" applyNumberFormat="1" applyFont="1" applyAlignment="1">
      <alignment horizontal="right" vertical="center" wrapText="1" indent="1"/>
    </xf>
    <xf numFmtId="166" fontId="22" fillId="0" borderId="40" xfId="0" applyNumberFormat="1" applyFont="1" applyBorder="1" applyAlignment="1">
      <alignment horizontal="left" vertical="center" wrapText="1" indent="1"/>
    </xf>
    <xf numFmtId="166" fontId="22" fillId="0" borderId="21" xfId="0" applyNumberFormat="1" applyFont="1" applyBorder="1" applyAlignment="1">
      <alignment horizontal="right" vertical="center" wrapText="1" indent="1"/>
    </xf>
    <xf numFmtId="166" fontId="2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2" fillId="0" borderId="32" xfId="0" applyNumberFormat="1" applyFont="1" applyBorder="1" applyAlignment="1">
      <alignment horizontal="left" vertical="center" wrapText="1" indent="2"/>
    </xf>
    <xf numFmtId="166" fontId="2" fillId="0" borderId="31" xfId="0" applyNumberFormat="1" applyFont="1" applyBorder="1" applyAlignment="1">
      <alignment horizontal="left" vertical="center" wrapText="1" indent="1"/>
    </xf>
    <xf numFmtId="166" fontId="2" fillId="0" borderId="31" xfId="0" applyNumberFormat="1" applyFont="1" applyBorder="1" applyAlignment="1" applyProtection="1">
      <alignment horizontal="left" vertical="center" wrapText="1" indent="1"/>
      <protection locked="0"/>
    </xf>
    <xf numFmtId="3" fontId="17" fillId="0" borderId="20" xfId="0" applyNumberFormat="1" applyFont="1" applyBorder="1" applyAlignment="1">
      <alignment horizontal="right" vertical="center" wrapText="1" indent="1"/>
    </xf>
    <xf numFmtId="166" fontId="12" fillId="0" borderId="46" xfId="0" applyNumberFormat="1" applyFont="1" applyBorder="1" applyAlignment="1">
      <alignment horizontal="right" vertical="center" wrapText="1" indent="1"/>
    </xf>
    <xf numFmtId="3" fontId="12" fillId="0" borderId="47" xfId="0" applyNumberFormat="1" applyFont="1" applyBorder="1" applyAlignment="1">
      <alignment horizontal="right" vertical="center" wrapText="1" indent="1"/>
    </xf>
    <xf numFmtId="166" fontId="12" fillId="32" borderId="14" xfId="0" applyNumberFormat="1" applyFont="1" applyFill="1" applyBorder="1" applyAlignment="1">
      <alignment horizontal="left" vertical="center" wrapText="1" indent="1"/>
    </xf>
    <xf numFmtId="166" fontId="12" fillId="32" borderId="39" xfId="0" applyNumberFormat="1" applyFont="1" applyFill="1" applyBorder="1" applyAlignment="1">
      <alignment horizontal="left" vertical="center" wrapText="1" indent="1"/>
    </xf>
    <xf numFmtId="166" fontId="12" fillId="32" borderId="47" xfId="0" applyNumberFormat="1" applyFont="1" applyFill="1" applyBorder="1" applyAlignment="1">
      <alignment horizontal="right" vertical="center" wrapText="1" indent="1"/>
    </xf>
    <xf numFmtId="0" fontId="13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3" fontId="13" fillId="0" borderId="0" xfId="61" applyNumberFormat="1" applyFont="1">
      <alignment/>
      <protection/>
    </xf>
    <xf numFmtId="0" fontId="13" fillId="0" borderId="0" xfId="61" applyFont="1" applyAlignment="1">
      <alignment horizontal="right"/>
      <protection/>
    </xf>
    <xf numFmtId="0" fontId="24" fillId="0" borderId="0" xfId="61" applyFont="1" applyAlignment="1">
      <alignment horizontal="center"/>
      <protection/>
    </xf>
    <xf numFmtId="3" fontId="16" fillId="0" borderId="0" xfId="61" applyNumberFormat="1" applyFont="1" applyAlignment="1">
      <alignment horizontal="right"/>
      <protection/>
    </xf>
    <xf numFmtId="3" fontId="16" fillId="0" borderId="22" xfId="61" applyNumberFormat="1" applyFont="1" applyBorder="1">
      <alignment/>
      <protection/>
    </xf>
    <xf numFmtId="0" fontId="13" fillId="0" borderId="22" xfId="61" applyFont="1" applyBorder="1">
      <alignment/>
      <protection/>
    </xf>
    <xf numFmtId="3" fontId="13" fillId="0" borderId="22" xfId="61" applyNumberFormat="1" applyFont="1" applyBorder="1">
      <alignment/>
      <protection/>
    </xf>
    <xf numFmtId="0" fontId="23" fillId="0" borderId="48" xfId="0" applyFont="1" applyBorder="1" applyAlignment="1">
      <alignment horizontal="left" vertical="center"/>
    </xf>
    <xf numFmtId="3" fontId="23" fillId="0" borderId="49" xfId="44" applyNumberFormat="1" applyFont="1" applyBorder="1" applyAlignment="1">
      <alignment horizontal="center" vertical="center" wrapText="1"/>
    </xf>
    <xf numFmtId="3" fontId="23" fillId="0" borderId="49" xfId="44" applyNumberFormat="1" applyFont="1" applyFill="1" applyBorder="1" applyAlignment="1">
      <alignment horizontal="center" vertical="center" wrapText="1"/>
    </xf>
    <xf numFmtId="0" fontId="28" fillId="0" borderId="48" xfId="0" applyFont="1" applyBorder="1" applyAlignment="1">
      <alignment/>
    </xf>
    <xf numFmtId="3" fontId="28" fillId="0" borderId="49" xfId="44" applyNumberFormat="1" applyFont="1" applyBorder="1" applyAlignment="1">
      <alignment horizontal="center" vertical="center" wrapText="1"/>
    </xf>
    <xf numFmtId="3" fontId="28" fillId="0" borderId="49" xfId="44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wrapText="1"/>
    </xf>
    <xf numFmtId="0" fontId="23" fillId="0" borderId="48" xfId="0" applyFont="1" applyBorder="1" applyAlignment="1">
      <alignment/>
    </xf>
    <xf numFmtId="3" fontId="28" fillId="0" borderId="49" xfId="44" applyNumberFormat="1" applyFont="1" applyBorder="1" applyAlignment="1">
      <alignment horizontal="center" vertical="center"/>
    </xf>
    <xf numFmtId="3" fontId="28" fillId="0" borderId="49" xfId="44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wrapText="1"/>
    </xf>
    <xf numFmtId="3" fontId="23" fillId="0" borderId="49" xfId="44" applyNumberFormat="1" applyFont="1" applyBorder="1" applyAlignment="1">
      <alignment horizontal="center" vertical="center"/>
    </xf>
    <xf numFmtId="3" fontId="23" fillId="0" borderId="49" xfId="44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shrinkToFit="1"/>
    </xf>
    <xf numFmtId="3" fontId="23" fillId="0" borderId="48" xfId="0" applyNumberFormat="1" applyFont="1" applyBorder="1" applyAlignment="1">
      <alignment shrinkToFit="1"/>
    </xf>
    <xf numFmtId="3" fontId="28" fillId="0" borderId="48" xfId="0" applyNumberFormat="1" applyFont="1" applyBorder="1" applyAlignment="1">
      <alignment shrinkToFit="1"/>
    </xf>
    <xf numFmtId="3" fontId="23" fillId="0" borderId="48" xfId="0" applyNumberFormat="1" applyFont="1" applyBorder="1" applyAlignment="1">
      <alignment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1" xfId="44" applyNumberFormat="1" applyFont="1" applyBorder="1" applyAlignment="1">
      <alignment horizontal="center" vertical="center"/>
    </xf>
    <xf numFmtId="3" fontId="23" fillId="0" borderId="52" xfId="0" applyNumberFormat="1" applyFont="1" applyBorder="1" applyAlignment="1">
      <alignment shrinkToFit="1"/>
    </xf>
    <xf numFmtId="3" fontId="23" fillId="0" borderId="53" xfId="44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0" fontId="10" fillId="0" borderId="55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0" borderId="18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66" fontId="10" fillId="0" borderId="58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1"/>
    </xf>
    <xf numFmtId="169" fontId="17" fillId="0" borderId="20" xfId="44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10" xfId="63" applyFont="1" applyBorder="1" applyAlignment="1">
      <alignment horizontal="left" vertical="center" wrapText="1" indent="1"/>
      <protection/>
    </xf>
    <xf numFmtId="169" fontId="2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2" xfId="63" applyFont="1" applyBorder="1" applyAlignment="1">
      <alignment horizontal="left" vertical="center" wrapText="1" indent="1"/>
      <protection/>
    </xf>
    <xf numFmtId="169" fontId="2" fillId="0" borderId="25" xfId="44" applyNumberFormat="1" applyFont="1" applyFill="1" applyBorder="1" applyAlignment="1" applyProtection="1">
      <alignment horizontal="center" vertical="center" wrapText="1"/>
      <protection locked="0"/>
    </xf>
    <xf numFmtId="169" fontId="2" fillId="0" borderId="25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7" xfId="63" applyFont="1" applyBorder="1" applyAlignment="1">
      <alignment horizontal="left" vertical="center" wrapText="1" indent="1"/>
      <protection/>
    </xf>
    <xf numFmtId="169" fontId="2" fillId="0" borderId="41" xfId="44" applyNumberFormat="1" applyFont="1" applyFill="1" applyBorder="1" applyAlignment="1" applyProtection="1">
      <alignment horizontal="right" vertical="center" wrapText="1" indent="1"/>
      <protection locked="0"/>
    </xf>
    <xf numFmtId="169" fontId="2" fillId="0" borderId="26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6" xfId="0" applyFont="1" applyBorder="1" applyAlignment="1">
      <alignment horizontal="center" vertical="center" wrapText="1"/>
    </xf>
    <xf numFmtId="169" fontId="17" fillId="0" borderId="20" xfId="44" applyNumberFormat="1" applyFont="1" applyFill="1" applyBorder="1" applyAlignment="1" applyProtection="1">
      <alignment horizontal="right" vertical="center" wrapText="1" indent="1"/>
      <protection/>
    </xf>
    <xf numFmtId="0" fontId="2" fillId="0" borderId="21" xfId="63" applyFont="1" applyBorder="1" applyAlignment="1">
      <alignment horizontal="left" vertical="center" wrapText="1" inden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16" xfId="63" applyFont="1" applyBorder="1" applyAlignment="1">
      <alignment horizontal="left" vertical="center" wrapText="1" indent="1"/>
      <protection/>
    </xf>
    <xf numFmtId="169" fontId="17" fillId="0" borderId="20" xfId="44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21" xfId="63" applyFont="1" applyBorder="1" applyAlignment="1">
      <alignment horizontal="left" vertical="center" wrapText="1" indent="1"/>
      <protection/>
    </xf>
    <xf numFmtId="169" fontId="2" fillId="0" borderId="27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2" xfId="63" applyFont="1" applyBorder="1" applyAlignment="1">
      <alignment horizontal="left" vertical="center" wrapText="1" indent="1"/>
      <protection/>
    </xf>
    <xf numFmtId="0" fontId="2" fillId="0" borderId="38" xfId="63" applyFont="1" applyBorder="1" applyAlignment="1">
      <alignment horizontal="left" vertical="center" wrapText="1" indent="1"/>
      <protection/>
    </xf>
    <xf numFmtId="169" fontId="2" fillId="0" borderId="28" xfId="44" applyNumberFormat="1" applyFont="1" applyFill="1" applyBorder="1" applyAlignment="1" applyProtection="1">
      <alignment horizontal="right" vertical="center" wrapText="1" indent="1"/>
      <protection locked="0"/>
    </xf>
    <xf numFmtId="169" fontId="2" fillId="0" borderId="41" xfId="44" applyNumberFormat="1" applyFont="1" applyFill="1" applyBorder="1" applyAlignment="1" applyProtection="1">
      <alignment horizontal="right" vertical="center" wrapText="1" indent="1"/>
      <protection locked="0"/>
    </xf>
    <xf numFmtId="169" fontId="17" fillId="0" borderId="47" xfId="44" applyNumberFormat="1" applyFont="1" applyFill="1" applyBorder="1" applyAlignment="1" applyProtection="1">
      <alignment horizontal="right" vertical="center" wrapText="1" indent="1"/>
      <protection locked="0"/>
    </xf>
    <xf numFmtId="169" fontId="17" fillId="0" borderId="47" xfId="44" applyNumberFormat="1" applyFont="1" applyFill="1" applyBorder="1" applyAlignment="1" applyProtection="1">
      <alignment horizontal="right" vertical="center" wrapText="1" indent="1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wrapText="1" indent="1"/>
    </xf>
    <xf numFmtId="169" fontId="17" fillId="0" borderId="47" xfId="4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 indent="1"/>
    </xf>
    <xf numFmtId="0" fontId="17" fillId="0" borderId="3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17" fillId="0" borderId="47" xfId="0" applyNumberFormat="1" applyFont="1" applyBorder="1" applyAlignment="1">
      <alignment horizontal="right" vertical="center" wrapText="1" indent="1"/>
    </xf>
    <xf numFmtId="0" fontId="17" fillId="0" borderId="32" xfId="0" applyFont="1" applyBorder="1" applyAlignment="1">
      <alignment horizontal="center" vertical="center" wrapText="1"/>
    </xf>
    <xf numFmtId="169" fontId="2" fillId="0" borderId="27" xfId="44" applyNumberFormat="1" applyFont="1" applyFill="1" applyBorder="1" applyAlignment="1" applyProtection="1">
      <alignment horizontal="center" vertical="center" wrapText="1"/>
      <protection locked="0"/>
    </xf>
    <xf numFmtId="169" fontId="2" fillId="0" borderId="25" xfId="44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63" applyFont="1" applyBorder="1" applyAlignment="1">
      <alignment horizontal="left" vertical="center" wrapText="1"/>
      <protection/>
    </xf>
    <xf numFmtId="169" fontId="17" fillId="0" borderId="2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 wrapText="1" indent="1"/>
    </xf>
    <xf numFmtId="169" fontId="17" fillId="0" borderId="2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1" fillId="0" borderId="0" xfId="62">
      <alignment/>
      <protection/>
    </xf>
    <xf numFmtId="0" fontId="9" fillId="0" borderId="22" xfId="61" applyFont="1" applyBorder="1" applyAlignment="1">
      <alignment horizontal="left"/>
      <protection/>
    </xf>
    <xf numFmtId="0" fontId="9" fillId="0" borderId="22" xfId="61" applyFont="1" applyBorder="1">
      <alignment/>
      <protection/>
    </xf>
    <xf numFmtId="0" fontId="28" fillId="0" borderId="22" xfId="61" applyFont="1" applyBorder="1">
      <alignment/>
      <protection/>
    </xf>
    <xf numFmtId="49" fontId="28" fillId="0" borderId="22" xfId="61" applyNumberFormat="1" applyFont="1" applyBorder="1" applyAlignment="1">
      <alignment horizontal="center"/>
      <protection/>
    </xf>
    <xf numFmtId="0" fontId="13" fillId="0" borderId="22" xfId="61" applyFont="1" applyBorder="1" applyAlignment="1">
      <alignment horizontal="left"/>
      <protection/>
    </xf>
    <xf numFmtId="3" fontId="13" fillId="0" borderId="22" xfId="61" applyNumberFormat="1" applyFont="1" applyBorder="1" applyAlignment="1">
      <alignment horizontal="right"/>
      <protection/>
    </xf>
    <xf numFmtId="3" fontId="9" fillId="0" borderId="22" xfId="61" applyNumberFormat="1" applyFont="1" applyBorder="1">
      <alignment/>
      <protection/>
    </xf>
    <xf numFmtId="0" fontId="16" fillId="0" borderId="22" xfId="61" applyFont="1" applyBorder="1" applyAlignment="1">
      <alignment horizontal="left"/>
      <protection/>
    </xf>
    <xf numFmtId="0" fontId="23" fillId="0" borderId="22" xfId="61" applyFont="1" applyBorder="1">
      <alignment/>
      <protection/>
    </xf>
    <xf numFmtId="0" fontId="23" fillId="0" borderId="22" xfId="61" applyFont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3" fontId="16" fillId="0" borderId="22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166" fontId="2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2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7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166" fontId="17" fillId="0" borderId="20" xfId="0" applyNumberFormat="1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0" fillId="0" borderId="6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left" wrapText="1" indent="1"/>
    </xf>
    <xf numFmtId="166" fontId="17" fillId="0" borderId="14" xfId="0" applyNumberFormat="1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right"/>
    </xf>
    <xf numFmtId="169" fontId="2" fillId="0" borderId="11" xfId="44" applyNumberFormat="1" applyFont="1" applyFill="1" applyBorder="1" applyAlignment="1" applyProtection="1">
      <alignment vertical="center" wrapText="1"/>
      <protection/>
    </xf>
    <xf numFmtId="0" fontId="12" fillId="0" borderId="4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0" fontId="2" fillId="0" borderId="17" xfId="63" applyFont="1" applyBorder="1" applyAlignment="1">
      <alignment horizontal="left" vertical="center" wrapText="1" indent="1"/>
      <protection/>
    </xf>
    <xf numFmtId="166" fontId="2" fillId="0" borderId="26" xfId="0" applyNumberFormat="1" applyFont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2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3" fillId="0" borderId="69" xfId="0" applyFont="1" applyBorder="1" applyAlignment="1">
      <alignment horizontal="left"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 horizontal="left"/>
    </xf>
    <xf numFmtId="0" fontId="34" fillId="33" borderId="17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33" xfId="0" applyFill="1" applyBorder="1" applyAlignment="1">
      <alignment horizontal="left"/>
    </xf>
    <xf numFmtId="0" fontId="34" fillId="33" borderId="21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4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36" fillId="33" borderId="70" xfId="0" applyFont="1" applyFill="1" applyBorder="1" applyAlignment="1">
      <alignment horizontal="left"/>
    </xf>
    <xf numFmtId="0" fontId="37" fillId="33" borderId="66" xfId="0" applyFont="1" applyFill="1" applyBorder="1" applyAlignment="1">
      <alignment/>
    </xf>
    <xf numFmtId="0" fontId="29" fillId="0" borderId="72" xfId="0" applyFont="1" applyBorder="1" applyAlignment="1">
      <alignment/>
    </xf>
    <xf numFmtId="0" fontId="29" fillId="0" borderId="73" xfId="0" applyFont="1" applyBorder="1" applyAlignment="1">
      <alignment/>
    </xf>
    <xf numFmtId="0" fontId="34" fillId="0" borderId="74" xfId="0" applyFont="1" applyBorder="1" applyAlignment="1">
      <alignment/>
    </xf>
    <xf numFmtId="0" fontId="0" fillId="33" borderId="75" xfId="0" applyFill="1" applyBorder="1" applyAlignment="1">
      <alignment horizontal="left"/>
    </xf>
    <xf numFmtId="0" fontId="38" fillId="0" borderId="0" xfId="0" applyFont="1" applyAlignment="1">
      <alignment/>
    </xf>
    <xf numFmtId="0" fontId="38" fillId="0" borderId="57" xfId="0" applyFont="1" applyBorder="1" applyAlignment="1">
      <alignment/>
    </xf>
    <xf numFmtId="0" fontId="29" fillId="0" borderId="0" xfId="71" applyFont="1">
      <alignment/>
      <protection/>
    </xf>
    <xf numFmtId="0" fontId="1" fillId="0" borderId="0" xfId="71" applyFont="1">
      <alignment/>
      <protection/>
    </xf>
    <xf numFmtId="0" fontId="27" fillId="0" borderId="22" xfId="71" applyFont="1" applyBorder="1">
      <alignment/>
      <protection/>
    </xf>
    <xf numFmtId="0" fontId="27" fillId="0" borderId="22" xfId="71" applyFont="1" applyBorder="1" applyAlignment="1">
      <alignment horizontal="center"/>
      <protection/>
    </xf>
    <xf numFmtId="0" fontId="40" fillId="0" borderId="22" xfId="71" applyFont="1" applyBorder="1" applyAlignment="1">
      <alignment horizontal="center"/>
      <protection/>
    </xf>
    <xf numFmtId="0" fontId="26" fillId="0" borderId="22" xfId="71" applyFont="1" applyBorder="1">
      <alignment/>
      <protection/>
    </xf>
    <xf numFmtId="3" fontId="27" fillId="0" borderId="22" xfId="71" applyNumberFormat="1" applyFont="1" applyBorder="1">
      <alignment/>
      <protection/>
    </xf>
    <xf numFmtId="0" fontId="1" fillId="0" borderId="22" xfId="71" applyFont="1" applyBorder="1" applyAlignment="1">
      <alignment horizontal="center"/>
      <protection/>
    </xf>
    <xf numFmtId="0" fontId="13" fillId="0" borderId="22" xfId="71" applyFont="1" applyBorder="1">
      <alignment/>
      <protection/>
    </xf>
    <xf numFmtId="3" fontId="13" fillId="0" borderId="22" xfId="71" applyNumberFormat="1" applyFont="1" applyBorder="1" applyAlignment="1">
      <alignment horizontal="center"/>
      <protection/>
    </xf>
    <xf numFmtId="0" fontId="13" fillId="0" borderId="22" xfId="71" applyFont="1" applyBorder="1" applyAlignment="1">
      <alignment vertical="center" wrapText="1"/>
      <protection/>
    </xf>
    <xf numFmtId="0" fontId="13" fillId="0" borderId="22" xfId="71" applyFont="1" applyBorder="1" applyAlignment="1">
      <alignment wrapText="1"/>
      <protection/>
    </xf>
    <xf numFmtId="0" fontId="16" fillId="0" borderId="22" xfId="71" applyFont="1" applyBorder="1">
      <alignment/>
      <protection/>
    </xf>
    <xf numFmtId="3" fontId="16" fillId="0" borderId="22" xfId="71" applyNumberFormat="1" applyFont="1" applyBorder="1" applyAlignment="1">
      <alignment horizontal="center"/>
      <protection/>
    </xf>
    <xf numFmtId="0" fontId="1" fillId="0" borderId="22" xfId="71" applyFont="1" applyBorder="1">
      <alignment/>
      <protection/>
    </xf>
    <xf numFmtId="0" fontId="41" fillId="0" borderId="0" xfId="71" applyFont="1">
      <alignment/>
      <protection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justify" vertical="top"/>
    </xf>
    <xf numFmtId="0" fontId="12" fillId="0" borderId="22" xfId="0" applyFont="1" applyBorder="1" applyAlignment="1">
      <alignment horizontal="left" vertical="top"/>
    </xf>
    <xf numFmtId="169" fontId="1" fillId="0" borderId="0" xfId="44" applyNumberFormat="1" applyAlignment="1">
      <alignment horizontal="justify" vertical="top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left" vertical="center" wrapText="1"/>
    </xf>
    <xf numFmtId="0" fontId="0" fillId="0" borderId="22" xfId="63" applyFont="1" applyBorder="1" applyAlignment="1">
      <alignment horizontal="center"/>
      <protection/>
    </xf>
    <xf numFmtId="0" fontId="16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179" fontId="13" fillId="0" borderId="22" xfId="0" applyNumberFormat="1" applyFont="1" applyBorder="1" applyAlignment="1">
      <alignment horizontal="center"/>
    </xf>
    <xf numFmtId="9" fontId="13" fillId="0" borderId="22" xfId="0" applyNumberFormat="1" applyFont="1" applyBorder="1" applyAlignment="1">
      <alignment horizontal="center"/>
    </xf>
    <xf numFmtId="0" fontId="16" fillId="34" borderId="22" xfId="0" applyFont="1" applyFill="1" applyBorder="1" applyAlignment="1">
      <alignment horizontal="left" vertical="center" wrapText="1"/>
    </xf>
    <xf numFmtId="0" fontId="13" fillId="34" borderId="22" xfId="0" applyFont="1" applyFill="1" applyBorder="1" applyAlignment="1">
      <alignment horizontal="left" vertical="center" wrapText="1"/>
    </xf>
    <xf numFmtId="0" fontId="13" fillId="34" borderId="22" xfId="0" applyFont="1" applyFill="1" applyBorder="1" applyAlignment="1">
      <alignment vertical="center" wrapText="1"/>
    </xf>
    <xf numFmtId="3" fontId="13" fillId="34" borderId="22" xfId="0" applyNumberFormat="1" applyFont="1" applyFill="1" applyBorder="1" applyAlignment="1">
      <alignment horizontal="center"/>
    </xf>
    <xf numFmtId="9" fontId="13" fillId="34" borderId="22" xfId="0" applyNumberFormat="1" applyFont="1" applyFill="1" applyBorder="1" applyAlignment="1">
      <alignment horizontal="center"/>
    </xf>
    <xf numFmtId="3" fontId="16" fillId="34" borderId="22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169" fontId="28" fillId="0" borderId="22" xfId="44" applyNumberFormat="1" applyFont="1" applyBorder="1" applyAlignment="1">
      <alignment wrapText="1"/>
    </xf>
    <xf numFmtId="3" fontId="28" fillId="0" borderId="22" xfId="0" applyNumberFormat="1" applyFont="1" applyBorder="1" applyAlignment="1">
      <alignment horizontal="center"/>
    </xf>
    <xf numFmtId="37" fontId="28" fillId="0" borderId="22" xfId="0" applyNumberFormat="1" applyFont="1" applyBorder="1" applyAlignment="1">
      <alignment horizontal="center" vertical="center" wrapText="1"/>
    </xf>
    <xf numFmtId="169" fontId="28" fillId="0" borderId="22" xfId="44" applyNumberFormat="1" applyFont="1" applyFill="1" applyBorder="1" applyAlignment="1">
      <alignment wrapText="1"/>
    </xf>
    <xf numFmtId="3" fontId="28" fillId="0" borderId="22" xfId="0" applyNumberFormat="1" applyFont="1" applyBorder="1" applyAlignment="1">
      <alignment horizontal="center" vertical="center"/>
    </xf>
    <xf numFmtId="169" fontId="28" fillId="0" borderId="22" xfId="44" applyNumberFormat="1" applyFont="1" applyBorder="1" applyAlignment="1">
      <alignment/>
    </xf>
    <xf numFmtId="3" fontId="23" fillId="0" borderId="23" xfId="0" applyNumberFormat="1" applyFont="1" applyBorder="1" applyAlignment="1">
      <alignment horizontal="center" vertical="center"/>
    </xf>
    <xf numFmtId="169" fontId="23" fillId="0" borderId="23" xfId="44" applyNumberFormat="1" applyFont="1" applyBorder="1" applyAlignment="1">
      <alignment/>
    </xf>
    <xf numFmtId="3" fontId="28" fillId="0" borderId="23" xfId="0" applyNumberFormat="1" applyFont="1" applyBorder="1" applyAlignment="1">
      <alignment horizontal="center"/>
    </xf>
    <xf numFmtId="0" fontId="23" fillId="0" borderId="39" xfId="0" applyFont="1" applyBorder="1" applyAlignment="1">
      <alignment wrapText="1"/>
    </xf>
    <xf numFmtId="3" fontId="23" fillId="0" borderId="16" xfId="0" applyNumberFormat="1" applyFont="1" applyBorder="1" applyAlignment="1">
      <alignment horizontal="center" vertical="center"/>
    </xf>
    <xf numFmtId="169" fontId="23" fillId="0" borderId="16" xfId="44" applyNumberFormat="1" applyFont="1" applyBorder="1" applyAlignment="1">
      <alignment/>
    </xf>
    <xf numFmtId="3" fontId="23" fillId="0" borderId="16" xfId="0" applyNumberFormat="1" applyFont="1" applyBorder="1" applyAlignment="1">
      <alignment horizontal="center"/>
    </xf>
    <xf numFmtId="186" fontId="34" fillId="33" borderId="17" xfId="0" applyNumberFormat="1" applyFont="1" applyFill="1" applyBorder="1" applyAlignment="1">
      <alignment/>
    </xf>
    <xf numFmtId="166" fontId="0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horizontal="centerContinuous" vertical="center" wrapText="1"/>
    </xf>
    <xf numFmtId="166" fontId="0" fillId="0" borderId="0" xfId="0" applyNumberFormat="1" applyFont="1" applyAlignment="1">
      <alignment horizontal="centerContinuous" vertical="center"/>
    </xf>
    <xf numFmtId="166" fontId="0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right" vertical="center"/>
    </xf>
    <xf numFmtId="166" fontId="10" fillId="0" borderId="39" xfId="0" applyNumberFormat="1" applyFont="1" applyBorder="1" applyAlignment="1">
      <alignment horizontal="centerContinuous" vertical="center" wrapText="1"/>
    </xf>
    <xf numFmtId="166" fontId="10" fillId="0" borderId="16" xfId="0" applyNumberFormat="1" applyFont="1" applyBorder="1" applyAlignment="1">
      <alignment horizontal="centerContinuous" vertical="center" wrapText="1"/>
    </xf>
    <xf numFmtId="166" fontId="10" fillId="0" borderId="20" xfId="0" applyNumberFormat="1" applyFont="1" applyBorder="1" applyAlignment="1">
      <alignment horizontal="centerContinuous" vertical="center" wrapText="1"/>
    </xf>
    <xf numFmtId="166" fontId="10" fillId="0" borderId="39" xfId="0" applyNumberFormat="1" applyFont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0" fillId="0" borderId="76" xfId="0" applyNumberFormat="1" applyFont="1" applyBorder="1" applyAlignment="1">
      <alignment horizontal="left" vertical="center" wrapText="1" indent="1"/>
    </xf>
    <xf numFmtId="166" fontId="2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2" fillId="0" borderId="64" xfId="0" applyNumberFormat="1" applyFont="1" applyBorder="1" applyAlignment="1">
      <alignment horizontal="left" vertical="center" wrapText="1" indent="1"/>
    </xf>
    <xf numFmtId="166" fontId="2" fillId="0" borderId="67" xfId="0" applyNumberFormat="1" applyFont="1" applyBorder="1" applyAlignment="1" applyProtection="1">
      <alignment horizontal="right" vertical="center" wrapText="1" indent="1"/>
      <protection locked="0"/>
    </xf>
    <xf numFmtId="49" fontId="2" fillId="0" borderId="40" xfId="0" applyNumberFormat="1" applyFont="1" applyBorder="1" applyAlignment="1">
      <alignment horizontal="left" vertical="center" wrapText="1" indent="1"/>
    </xf>
    <xf numFmtId="166" fontId="2" fillId="0" borderId="32" xfId="0" applyNumberFormat="1" applyFont="1" applyBorder="1" applyAlignment="1" applyProtection="1">
      <alignment horizontal="left" vertical="center" wrapText="1" indent="1"/>
      <protection locked="0"/>
    </xf>
    <xf numFmtId="166" fontId="2" fillId="0" borderId="40" xfId="0" applyNumberFormat="1" applyFont="1" applyBorder="1" applyAlignment="1" applyProtection="1">
      <alignment horizontal="left" vertical="center" wrapText="1" indent="1"/>
      <protection locked="0"/>
    </xf>
    <xf numFmtId="166" fontId="2" fillId="0" borderId="31" xfId="0" applyNumberFormat="1" applyFont="1" applyBorder="1" applyAlignment="1">
      <alignment horizontal="left" vertical="center" wrapText="1" indent="2"/>
    </xf>
    <xf numFmtId="166" fontId="2" fillId="0" borderId="56" xfId="0" applyNumberFormat="1" applyFont="1" applyBorder="1" applyAlignment="1">
      <alignment horizontal="left" vertical="center" wrapText="1" indent="2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1" xfId="63" applyFont="1" applyBorder="1" applyAlignment="1">
      <alignment horizontal="center"/>
      <protection/>
    </xf>
    <xf numFmtId="49" fontId="0" fillId="0" borderId="33" xfId="63" applyNumberFormat="1" applyFont="1" applyBorder="1" applyAlignment="1">
      <alignment horizontal="center" vertical="center" wrapText="1"/>
      <protection/>
    </xf>
    <xf numFmtId="166" fontId="0" fillId="0" borderId="27" xfId="63" applyNumberFormat="1" applyFont="1" applyBorder="1" applyAlignment="1" applyProtection="1">
      <alignment horizontal="right" vertical="center" wrapText="1" indent="1"/>
      <protection locked="0"/>
    </xf>
    <xf numFmtId="49" fontId="0" fillId="0" borderId="24" xfId="63" applyNumberFormat="1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/>
      <protection/>
    </xf>
    <xf numFmtId="49" fontId="0" fillId="0" borderId="69" xfId="63" applyNumberFormat="1" applyFont="1" applyBorder="1" applyAlignment="1">
      <alignment horizontal="center" vertical="center" wrapText="1"/>
      <protection/>
    </xf>
    <xf numFmtId="166" fontId="0" fillId="0" borderId="27" xfId="63" applyNumberFormat="1" applyFont="1" applyBorder="1" applyAlignment="1">
      <alignment horizontal="right" vertical="center" wrapText="1" indent="1"/>
      <protection/>
    </xf>
    <xf numFmtId="166" fontId="0" fillId="0" borderId="25" xfId="63" applyNumberFormat="1" applyFont="1" applyBorder="1" applyAlignment="1" applyProtection="1">
      <alignment horizontal="right" vertical="center" wrapText="1" indent="1"/>
      <protection locked="0"/>
    </xf>
    <xf numFmtId="166" fontId="0" fillId="0" borderId="26" xfId="63" applyNumberFormat="1" applyFont="1" applyBorder="1" applyAlignment="1" applyProtection="1">
      <alignment horizontal="right" vertical="center" wrapText="1" indent="1"/>
      <protection locked="0"/>
    </xf>
    <xf numFmtId="0" fontId="0" fillId="0" borderId="35" xfId="63" applyFont="1" applyBorder="1" applyAlignment="1">
      <alignment horizontal="center"/>
      <protection/>
    </xf>
    <xf numFmtId="49" fontId="0" fillId="0" borderId="59" xfId="63" applyNumberFormat="1" applyFont="1" applyBorder="1" applyAlignment="1">
      <alignment horizontal="center" vertical="center" wrapText="1"/>
      <protection/>
    </xf>
    <xf numFmtId="0" fontId="0" fillId="0" borderId="60" xfId="63" applyFont="1" applyBorder="1" applyAlignment="1">
      <alignment horizontal="center"/>
      <protection/>
    </xf>
    <xf numFmtId="49" fontId="0" fillId="0" borderId="77" xfId="63" applyNumberFormat="1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/>
      <protection/>
    </xf>
    <xf numFmtId="0" fontId="0" fillId="0" borderId="10" xfId="63" applyFont="1" applyBorder="1" applyAlignment="1">
      <alignment horizontal="left" vertical="center" wrapText="1" indent="1"/>
      <protection/>
    </xf>
    <xf numFmtId="166" fontId="0" fillId="0" borderId="11" xfId="63" applyNumberFormat="1" applyFont="1" applyBorder="1" applyAlignment="1" applyProtection="1">
      <alignment horizontal="right" vertical="center" wrapText="1" indent="1"/>
      <protection locked="0"/>
    </xf>
    <xf numFmtId="0" fontId="0" fillId="0" borderId="22" xfId="63" applyFont="1" applyBorder="1" applyAlignment="1">
      <alignment horizontal="left" vertical="center" wrapText="1" indent="1"/>
      <protection/>
    </xf>
    <xf numFmtId="0" fontId="0" fillId="35" borderId="22" xfId="63" applyFont="1" applyFill="1" applyBorder="1" applyAlignment="1">
      <alignment horizontal="left" vertical="center" wrapText="1" indent="1"/>
      <protection/>
    </xf>
    <xf numFmtId="166" fontId="0" fillId="35" borderId="26" xfId="6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63" applyFont="1" applyBorder="1" applyAlignment="1">
      <alignment horizontal="left" vertical="center" wrapText="1" indent="1"/>
      <protection/>
    </xf>
    <xf numFmtId="0" fontId="0" fillId="0" borderId="0" xfId="63" applyFont="1" applyAlignment="1">
      <alignment horizontal="left" vertical="center" wrapText="1" indent="1"/>
      <protection/>
    </xf>
    <xf numFmtId="0" fontId="0" fillId="0" borderId="22" xfId="63" applyFont="1" applyBorder="1" applyAlignment="1">
      <alignment horizontal="left" indent="6"/>
      <protection/>
    </xf>
    <xf numFmtId="0" fontId="0" fillId="0" borderId="22" xfId="63" applyFont="1" applyBorder="1" applyAlignment="1">
      <alignment horizontal="left" vertical="center" wrapText="1" indent="6"/>
      <protection/>
    </xf>
    <xf numFmtId="49" fontId="0" fillId="0" borderId="71" xfId="63" applyNumberFormat="1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left" vertical="center" wrapText="1" indent="6"/>
      <protection/>
    </xf>
    <xf numFmtId="49" fontId="0" fillId="0" borderId="24" xfId="63" applyNumberFormat="1" applyFont="1" applyBorder="1" applyAlignment="1">
      <alignment horizontal="center" vertical="center" wrapText="1"/>
      <protection/>
    </xf>
    <xf numFmtId="49" fontId="0" fillId="0" borderId="24" xfId="63" applyNumberFormat="1" applyFont="1" applyBorder="1" applyAlignment="1">
      <alignment horizontal="left" vertical="center" wrapText="1" indent="1"/>
      <protection/>
    </xf>
    <xf numFmtId="0" fontId="0" fillId="0" borderId="23" xfId="63" applyFont="1" applyBorder="1" applyAlignment="1">
      <alignment horizontal="left" vertical="center" wrapText="1" indent="1"/>
      <protection/>
    </xf>
    <xf numFmtId="166" fontId="0" fillId="0" borderId="34" xfId="63" applyNumberFormat="1" applyFont="1" applyBorder="1" applyAlignment="1" applyProtection="1">
      <alignment horizontal="right" vertical="center" wrapText="1" indent="1"/>
      <protection locked="0"/>
    </xf>
    <xf numFmtId="0" fontId="0" fillId="0" borderId="21" xfId="63" applyFont="1" applyBorder="1" applyAlignment="1">
      <alignment horizontal="left" vertical="center" wrapText="1" indent="1"/>
      <protection/>
    </xf>
    <xf numFmtId="0" fontId="23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49" fontId="13" fillId="0" borderId="78" xfId="61" applyNumberFormat="1" applyFont="1" applyBorder="1" applyAlignment="1">
      <alignment horizontal="center"/>
      <protection/>
    </xf>
    <xf numFmtId="0" fontId="13" fillId="0" borderId="78" xfId="61" applyFont="1" applyBorder="1">
      <alignment/>
      <protection/>
    </xf>
    <xf numFmtId="3" fontId="16" fillId="0" borderId="79" xfId="61" applyNumberFormat="1" applyFont="1" applyBorder="1">
      <alignment/>
      <protection/>
    </xf>
    <xf numFmtId="3" fontId="16" fillId="0" borderId="21" xfId="61" applyNumberFormat="1" applyFont="1" applyBorder="1">
      <alignment/>
      <protection/>
    </xf>
    <xf numFmtId="49" fontId="13" fillId="0" borderId="49" xfId="61" applyNumberFormat="1" applyFont="1" applyBorder="1" applyAlignment="1">
      <alignment horizontal="center"/>
      <protection/>
    </xf>
    <xf numFmtId="3" fontId="16" fillId="0" borderId="80" xfId="61" applyNumberFormat="1" applyFont="1" applyBorder="1">
      <alignment/>
      <protection/>
    </xf>
    <xf numFmtId="0" fontId="13" fillId="0" borderId="49" xfId="61" applyFont="1" applyBorder="1">
      <alignment/>
      <protection/>
    </xf>
    <xf numFmtId="3" fontId="16" fillId="0" borderId="49" xfId="61" applyNumberFormat="1" applyFont="1" applyBorder="1">
      <alignment/>
      <protection/>
    </xf>
    <xf numFmtId="0" fontId="13" fillId="0" borderId="48" xfId="61" applyFont="1" applyBorder="1">
      <alignment/>
      <protection/>
    </xf>
    <xf numFmtId="0" fontId="13" fillId="0" borderId="49" xfId="61" applyFont="1" applyBorder="1" applyAlignment="1">
      <alignment wrapText="1"/>
      <protection/>
    </xf>
    <xf numFmtId="0" fontId="13" fillId="0" borderId="49" xfId="61" applyFont="1" applyBorder="1" applyAlignment="1">
      <alignment horizontal="left"/>
      <protection/>
    </xf>
    <xf numFmtId="0" fontId="16" fillId="0" borderId="49" xfId="61" applyFont="1" applyBorder="1" applyAlignment="1">
      <alignment horizontal="left"/>
      <protection/>
    </xf>
    <xf numFmtId="3" fontId="16" fillId="0" borderId="81" xfId="61" applyNumberFormat="1" applyFont="1" applyBorder="1">
      <alignment/>
      <protection/>
    </xf>
    <xf numFmtId="3" fontId="16" fillId="0" borderId="82" xfId="61" applyNumberFormat="1" applyFont="1" applyBorder="1">
      <alignment/>
      <protection/>
    </xf>
    <xf numFmtId="0" fontId="13" fillId="0" borderId="67" xfId="61" applyFont="1" applyBorder="1">
      <alignment/>
      <protection/>
    </xf>
    <xf numFmtId="0" fontId="13" fillId="0" borderId="25" xfId="61" applyFont="1" applyBorder="1">
      <alignment/>
      <protection/>
    </xf>
    <xf numFmtId="0" fontId="13" fillId="0" borderId="83" xfId="61" applyFont="1" applyBorder="1">
      <alignment/>
      <protection/>
    </xf>
    <xf numFmtId="3" fontId="16" fillId="0" borderId="84" xfId="61" applyNumberFormat="1" applyFont="1" applyBorder="1">
      <alignment/>
      <protection/>
    </xf>
    <xf numFmtId="3" fontId="16" fillId="0" borderId="85" xfId="61" applyNumberFormat="1" applyFont="1" applyBorder="1">
      <alignment/>
      <protection/>
    </xf>
    <xf numFmtId="0" fontId="13" fillId="0" borderId="12" xfId="61" applyFont="1" applyBorder="1">
      <alignment/>
      <protection/>
    </xf>
    <xf numFmtId="3" fontId="13" fillId="0" borderId="12" xfId="61" applyNumberFormat="1" applyFont="1" applyBorder="1">
      <alignment/>
      <protection/>
    </xf>
    <xf numFmtId="0" fontId="13" fillId="0" borderId="28" xfId="61" applyFont="1" applyBorder="1">
      <alignment/>
      <protection/>
    </xf>
    <xf numFmtId="3" fontId="13" fillId="0" borderId="0" xfId="61" applyNumberFormat="1" applyFont="1" applyAlignment="1">
      <alignment horizontal="center"/>
      <protection/>
    </xf>
    <xf numFmtId="3" fontId="28" fillId="0" borderId="80" xfId="44" applyNumberFormat="1" applyFont="1" applyFill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 vertical="center" wrapText="1" indent="1"/>
    </xf>
    <xf numFmtId="0" fontId="0" fillId="0" borderId="14" xfId="0" applyFont="1" applyBorder="1" applyAlignment="1">
      <alignment vertical="center" wrapText="1"/>
    </xf>
    <xf numFmtId="0" fontId="25" fillId="0" borderId="19" xfId="0" applyFont="1" applyBorder="1" applyAlignment="1">
      <alignment horizontal="left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Alignment="1">
      <alignment horizontal="justify" vertical="top" wrapText="1"/>
    </xf>
    <xf numFmtId="166" fontId="10" fillId="0" borderId="19" xfId="0" applyNumberFormat="1" applyFont="1" applyBorder="1" applyAlignment="1">
      <alignment horizontal="centerContinuous" vertical="center" wrapText="1"/>
    </xf>
    <xf numFmtId="166" fontId="17" fillId="0" borderId="19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Continuous" vertical="center" wrapText="1"/>
    </xf>
    <xf numFmtId="166" fontId="0" fillId="0" borderId="47" xfId="0" applyNumberFormat="1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 wrapText="1"/>
    </xf>
    <xf numFmtId="166" fontId="10" fillId="0" borderId="47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3" fillId="0" borderId="32" xfId="0" applyFont="1" applyBorder="1" applyAlignment="1">
      <alignment/>
    </xf>
    <xf numFmtId="3" fontId="28" fillId="0" borderId="25" xfId="0" applyNumberFormat="1" applyFont="1" applyBorder="1" applyAlignment="1">
      <alignment horizontal="center"/>
    </xf>
    <xf numFmtId="0" fontId="23" fillId="0" borderId="32" xfId="0" applyFont="1" applyBorder="1" applyAlignment="1">
      <alignment wrapText="1"/>
    </xf>
    <xf numFmtId="0" fontId="28" fillId="0" borderId="32" xfId="0" applyFont="1" applyBorder="1" applyAlignment="1">
      <alignment horizontal="left" wrapText="1"/>
    </xf>
    <xf numFmtId="0" fontId="28" fillId="0" borderId="32" xfId="0" applyFont="1" applyBorder="1" applyAlignment="1">
      <alignment/>
    </xf>
    <xf numFmtId="0" fontId="23" fillId="0" borderId="56" xfId="0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6" fillId="0" borderId="67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left" wrapText="1"/>
    </xf>
    <xf numFmtId="3" fontId="16" fillId="33" borderId="22" xfId="40" applyNumberFormat="1" applyFont="1" applyFill="1" applyBorder="1" applyAlignment="1">
      <alignment horizontal="center" vertical="center"/>
      <protection/>
    </xf>
    <xf numFmtId="3" fontId="13" fillId="0" borderId="22" xfId="40" applyNumberFormat="1" applyFont="1" applyBorder="1" applyAlignment="1">
      <alignment horizontal="left" vertical="center"/>
      <protection/>
    </xf>
    <xf numFmtId="3" fontId="13" fillId="0" borderId="22" xfId="40" applyNumberFormat="1" applyFont="1" applyBorder="1" applyAlignment="1">
      <alignment horizontal="center" vertical="center"/>
      <protection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22" xfId="0" applyNumberFormat="1" applyFont="1" applyBorder="1" applyAlignment="1">
      <alignment horizontal="center" vertical="center" wrapText="1"/>
    </xf>
    <xf numFmtId="3" fontId="16" fillId="0" borderId="22" xfId="40" applyNumberFormat="1" applyFont="1" applyBorder="1" applyAlignment="1">
      <alignment horizontal="center" vertical="center"/>
      <protection/>
    </xf>
    <xf numFmtId="0" fontId="13" fillId="0" borderId="22" xfId="0" applyFont="1" applyBorder="1" applyAlignment="1">
      <alignment wrapText="1"/>
    </xf>
    <xf numFmtId="0" fontId="16" fillId="33" borderId="22" xfId="0" applyFont="1" applyFill="1" applyBorder="1" applyAlignment="1">
      <alignment wrapText="1"/>
    </xf>
    <xf numFmtId="3" fontId="16" fillId="33" borderId="22" xfId="0" applyNumberFormat="1" applyFont="1" applyFill="1" applyBorder="1" applyAlignment="1">
      <alignment wrapText="1"/>
    </xf>
    <xf numFmtId="0" fontId="13" fillId="0" borderId="22" xfId="0" applyFont="1" applyBorder="1" applyAlignment="1">
      <alignment horizontal="center" vertical="top" wrapText="1"/>
    </xf>
    <xf numFmtId="3" fontId="16" fillId="33" borderId="22" xfId="0" applyNumberFormat="1" applyFont="1" applyFill="1" applyBorder="1" applyAlignment="1">
      <alignment horizontal="left" wrapText="1"/>
    </xf>
    <xf numFmtId="0" fontId="13" fillId="0" borderId="22" xfId="42" applyFont="1" applyBorder="1" applyAlignment="1">
      <alignment horizontal="center" vertical="center"/>
      <protection/>
    </xf>
    <xf numFmtId="0" fontId="13" fillId="0" borderId="22" xfId="41" applyFont="1" applyBorder="1" applyAlignment="1">
      <alignment horizontal="center" vertical="center"/>
      <protection/>
    </xf>
    <xf numFmtId="49" fontId="13" fillId="0" borderId="22" xfId="0" applyNumberFormat="1" applyFont="1" applyBorder="1" applyAlignment="1">
      <alignment vertical="center" wrapText="1"/>
    </xf>
    <xf numFmtId="3" fontId="16" fillId="0" borderId="22" xfId="0" applyNumberFormat="1" applyFont="1" applyBorder="1" applyAlignment="1">
      <alignment horizontal="left"/>
    </xf>
    <xf numFmtId="0" fontId="16" fillId="0" borderId="24" xfId="0" applyFont="1" applyBorder="1" applyAlignment="1">
      <alignment horizontal="left" vertical="top"/>
    </xf>
    <xf numFmtId="3" fontId="16" fillId="0" borderId="24" xfId="0" applyNumberFormat="1" applyFont="1" applyBorder="1" applyAlignment="1">
      <alignment horizontal="left" vertical="top"/>
    </xf>
    <xf numFmtId="2" fontId="0" fillId="0" borderId="22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169" fontId="13" fillId="0" borderId="0" xfId="44" applyNumberFormat="1" applyFont="1" applyAlignment="1">
      <alignment horizontal="right" vertical="top"/>
    </xf>
    <xf numFmtId="169" fontId="13" fillId="0" borderId="0" xfId="44" applyNumberFormat="1" applyFont="1" applyFill="1" applyAlignment="1">
      <alignment horizontal="right" vertical="top"/>
    </xf>
    <xf numFmtId="169" fontId="13" fillId="0" borderId="22" xfId="44" applyNumberFormat="1" applyFont="1" applyBorder="1" applyAlignment="1">
      <alignment horizontal="right" vertical="top"/>
    </xf>
    <xf numFmtId="169" fontId="13" fillId="0" borderId="22" xfId="44" applyNumberFormat="1" applyFont="1" applyFill="1" applyBorder="1" applyAlignment="1">
      <alignment horizontal="right" vertical="top"/>
    </xf>
    <xf numFmtId="169" fontId="13" fillId="0" borderId="0" xfId="44" applyNumberFormat="1" applyFont="1" applyFill="1" applyAlignment="1">
      <alignment horizontal="right" vertical="top" wrapText="1"/>
    </xf>
    <xf numFmtId="3" fontId="13" fillId="0" borderId="22" xfId="44" applyNumberFormat="1" applyFont="1" applyBorder="1" applyAlignment="1">
      <alignment horizontal="center" vertical="top"/>
    </xf>
    <xf numFmtId="3" fontId="13" fillId="0" borderId="22" xfId="44" applyNumberFormat="1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center" wrapText="1"/>
    </xf>
    <xf numFmtId="3" fontId="16" fillId="0" borderId="22" xfId="44" applyNumberFormat="1" applyFont="1" applyBorder="1" applyAlignment="1">
      <alignment horizontal="center" vertical="top"/>
    </xf>
    <xf numFmtId="0" fontId="12" fillId="0" borderId="0" xfId="0" applyFont="1" applyAlignment="1">
      <alignment horizontal="justify" vertical="top"/>
    </xf>
    <xf numFmtId="166" fontId="0" fillId="0" borderId="0" xfId="0" applyNumberFormat="1" applyFont="1" applyAlignment="1">
      <alignment vertical="center" wrapText="1"/>
    </xf>
    <xf numFmtId="3" fontId="23" fillId="0" borderId="22" xfId="0" applyNumberFormat="1" applyFont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8" fillId="0" borderId="88" xfId="0" applyFont="1" applyBorder="1" applyAlignment="1">
      <alignment/>
    </xf>
    <xf numFmtId="0" fontId="28" fillId="0" borderId="81" xfId="0" applyFont="1" applyBorder="1" applyAlignment="1">
      <alignment/>
    </xf>
    <xf numFmtId="0" fontId="28" fillId="0" borderId="82" xfId="0" applyFont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88" xfId="0" applyFont="1" applyBorder="1" applyAlignment="1">
      <alignment/>
    </xf>
    <xf numFmtId="0" fontId="23" fillId="0" borderId="0" xfId="0" applyFont="1" applyAlignment="1">
      <alignment/>
    </xf>
    <xf numFmtId="169" fontId="28" fillId="0" borderId="22" xfId="44" applyNumberFormat="1" applyFont="1" applyFill="1" applyBorder="1" applyAlignment="1">
      <alignment vertical="center" wrapText="1"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169" fontId="23" fillId="0" borderId="22" xfId="44" applyNumberFormat="1" applyFont="1" applyFill="1" applyBorder="1" applyAlignment="1">
      <alignment vertical="center" wrapText="1"/>
    </xf>
    <xf numFmtId="3" fontId="23" fillId="0" borderId="0" xfId="0" applyNumberFormat="1" applyFont="1" applyAlignment="1">
      <alignment/>
    </xf>
    <xf numFmtId="169" fontId="28" fillId="0" borderId="22" xfId="44" applyNumberFormat="1" applyFont="1" applyFill="1" applyBorder="1" applyAlignment="1">
      <alignment vertical="center"/>
    </xf>
    <xf numFmtId="169" fontId="23" fillId="0" borderId="23" xfId="44" applyNumberFormat="1" applyFont="1" applyFill="1" applyBorder="1" applyAlignment="1">
      <alignment vertical="center"/>
    </xf>
    <xf numFmtId="169" fontId="23" fillId="0" borderId="16" xfId="44" applyNumberFormat="1" applyFont="1" applyFill="1" applyBorder="1" applyAlignment="1">
      <alignment vertical="center"/>
    </xf>
    <xf numFmtId="166" fontId="28" fillId="0" borderId="0" xfId="0" applyNumberFormat="1" applyFont="1" applyAlignment="1">
      <alignment horizontal="left" vertical="center" wrapText="1" indent="1"/>
    </xf>
    <xf numFmtId="169" fontId="28" fillId="0" borderId="0" xfId="44" applyNumberFormat="1" applyFont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48" xfId="0" applyFont="1" applyBorder="1" applyAlignment="1">
      <alignment/>
    </xf>
    <xf numFmtId="0" fontId="44" fillId="0" borderId="48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178" fontId="28" fillId="0" borderId="0" xfId="0" applyNumberFormat="1" applyFont="1" applyAlignment="1">
      <alignment/>
    </xf>
    <xf numFmtId="0" fontId="23" fillId="0" borderId="34" xfId="0" applyFont="1" applyBorder="1" applyAlignment="1">
      <alignment horizontal="center" vertical="center" wrapText="1"/>
    </xf>
    <xf numFmtId="3" fontId="23" fillId="0" borderId="92" xfId="44" applyNumberFormat="1" applyFont="1" applyFill="1" applyBorder="1" applyAlignment="1">
      <alignment horizontal="center" vertical="center" wrapText="1"/>
    </xf>
    <xf numFmtId="3" fontId="28" fillId="0" borderId="92" xfId="44" applyNumberFormat="1" applyFont="1" applyFill="1" applyBorder="1" applyAlignment="1">
      <alignment horizontal="center" vertical="center" wrapText="1"/>
    </xf>
    <xf numFmtId="3" fontId="23" fillId="0" borderId="92" xfId="44" applyNumberFormat="1" applyFont="1" applyBorder="1" applyAlignment="1">
      <alignment horizontal="center" vertical="center" wrapText="1"/>
    </xf>
    <xf numFmtId="3" fontId="28" fillId="0" borderId="92" xfId="44" applyNumberFormat="1" applyFont="1" applyBorder="1" applyAlignment="1">
      <alignment horizontal="center" vertical="center" wrapText="1"/>
    </xf>
    <xf numFmtId="3" fontId="28" fillId="0" borderId="92" xfId="44" applyNumberFormat="1" applyFont="1" applyBorder="1" applyAlignment="1">
      <alignment horizontal="center" vertical="center"/>
    </xf>
    <xf numFmtId="3" fontId="23" fillId="0" borderId="92" xfId="44" applyNumberFormat="1" applyFont="1" applyBorder="1" applyAlignment="1">
      <alignment horizontal="center" vertical="center"/>
    </xf>
    <xf numFmtId="3" fontId="28" fillId="0" borderId="92" xfId="44" applyNumberFormat="1" applyFont="1" applyFill="1" applyBorder="1" applyAlignment="1">
      <alignment horizontal="center" vertical="center"/>
    </xf>
    <xf numFmtId="3" fontId="23" fillId="0" borderId="92" xfId="44" applyNumberFormat="1" applyFont="1" applyFill="1" applyBorder="1" applyAlignment="1">
      <alignment horizontal="center" vertical="center"/>
    </xf>
    <xf numFmtId="3" fontId="23" fillId="0" borderId="93" xfId="44" applyNumberFormat="1" applyFont="1" applyBorder="1" applyAlignment="1">
      <alignment horizontal="center" vertical="center"/>
    </xf>
    <xf numFmtId="3" fontId="23" fillId="0" borderId="94" xfId="44" applyNumberFormat="1" applyFont="1" applyBorder="1" applyAlignment="1">
      <alignment horizontal="center" vertical="center"/>
    </xf>
    <xf numFmtId="0" fontId="13" fillId="0" borderId="95" xfId="61" applyFont="1" applyBorder="1">
      <alignment/>
      <protection/>
    </xf>
    <xf numFmtId="3" fontId="13" fillId="0" borderId="81" xfId="61" applyNumberFormat="1" applyFont="1" applyBorder="1">
      <alignment/>
      <protection/>
    </xf>
    <xf numFmtId="3" fontId="13" fillId="0" borderId="25" xfId="61" applyNumberFormat="1" applyFont="1" applyBorder="1">
      <alignment/>
      <protection/>
    </xf>
    <xf numFmtId="3" fontId="13" fillId="0" borderId="96" xfId="61" applyNumberFormat="1" applyFont="1" applyBorder="1">
      <alignment/>
      <protection/>
    </xf>
    <xf numFmtId="3" fontId="13" fillId="0" borderId="97" xfId="61" applyNumberFormat="1" applyFont="1" applyBorder="1">
      <alignment/>
      <protection/>
    </xf>
    <xf numFmtId="3" fontId="13" fillId="0" borderId="80" xfId="61" applyNumberFormat="1" applyFont="1" applyBorder="1">
      <alignment/>
      <protection/>
    </xf>
    <xf numFmtId="3" fontId="13" fillId="0" borderId="98" xfId="61" applyNumberFormat="1" applyFont="1" applyBorder="1">
      <alignment/>
      <protection/>
    </xf>
    <xf numFmtId="188" fontId="84" fillId="0" borderId="22" xfId="44" applyNumberFormat="1" applyFont="1" applyBorder="1" applyAlignment="1">
      <alignment/>
    </xf>
    <xf numFmtId="188" fontId="84" fillId="0" borderId="17" xfId="44" applyNumberFormat="1" applyFont="1" applyBorder="1" applyAlignment="1">
      <alignment/>
    </xf>
    <xf numFmtId="3" fontId="13" fillId="0" borderId="99" xfId="61" applyNumberFormat="1" applyFont="1" applyBorder="1">
      <alignment/>
      <protection/>
    </xf>
    <xf numFmtId="3" fontId="13" fillId="0" borderId="100" xfId="61" applyNumberFormat="1" applyFont="1" applyBorder="1">
      <alignment/>
      <protection/>
    </xf>
    <xf numFmtId="188" fontId="84" fillId="0" borderId="101" xfId="44" applyNumberFormat="1" applyFont="1" applyBorder="1" applyAlignment="1">
      <alignment/>
    </xf>
    <xf numFmtId="0" fontId="13" fillId="0" borderId="102" xfId="61" applyFont="1" applyBorder="1">
      <alignment/>
      <protection/>
    </xf>
    <xf numFmtId="188" fontId="84" fillId="0" borderId="22" xfId="44" applyNumberFormat="1" applyFont="1" applyBorder="1" applyAlignment="1">
      <alignment horizontal="center" wrapText="1"/>
    </xf>
    <xf numFmtId="0" fontId="13" fillId="0" borderId="22" xfId="61" applyFont="1" applyBorder="1" applyAlignment="1">
      <alignment horizontal="right"/>
      <protection/>
    </xf>
    <xf numFmtId="166" fontId="22" fillId="0" borderId="32" xfId="0" applyNumberFormat="1" applyFont="1" applyBorder="1" applyAlignment="1">
      <alignment horizontal="left" vertical="center" wrapText="1" indent="1"/>
    </xf>
    <xf numFmtId="166" fontId="17" fillId="0" borderId="15" xfId="0" applyNumberFormat="1" applyFont="1" applyBorder="1" applyAlignment="1">
      <alignment horizontal="center" vertical="center" wrapText="1"/>
    </xf>
    <xf numFmtId="166" fontId="0" fillId="0" borderId="103" xfId="0" applyNumberFormat="1" applyFont="1" applyBorder="1" applyAlignment="1">
      <alignment horizontal="left" vertical="center" wrapText="1" indent="1"/>
    </xf>
    <xf numFmtId="166" fontId="0" fillId="0" borderId="104" xfId="0" applyNumberFormat="1" applyFont="1" applyBorder="1" applyAlignment="1">
      <alignment horizontal="left" vertical="center" wrapText="1" indent="1"/>
    </xf>
    <xf numFmtId="166" fontId="12" fillId="0" borderId="15" xfId="0" applyNumberFormat="1" applyFont="1" applyBorder="1" applyAlignment="1">
      <alignment horizontal="left" vertical="center" wrapText="1" indent="1"/>
    </xf>
    <xf numFmtId="166" fontId="0" fillId="0" borderId="64" xfId="0" applyNumberFormat="1" applyFont="1" applyBorder="1" applyAlignment="1">
      <alignment horizontal="left" vertical="center" wrapText="1" indent="1"/>
    </xf>
    <xf numFmtId="166" fontId="12" fillId="0" borderId="105" xfId="0" applyNumberFormat="1" applyFont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3" fillId="0" borderId="22" xfId="0" applyNumberFormat="1" applyFont="1" applyBorder="1" applyAlignment="1">
      <alignment horizontal="center" vertical="center"/>
    </xf>
    <xf numFmtId="169" fontId="23" fillId="0" borderId="22" xfId="44" applyNumberFormat="1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169" fontId="28" fillId="0" borderId="22" xfId="44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169" fontId="23" fillId="0" borderId="25" xfId="44" applyNumberFormat="1" applyFont="1" applyBorder="1" applyAlignment="1">
      <alignment vertical="center"/>
    </xf>
    <xf numFmtId="169" fontId="28" fillId="0" borderId="25" xfId="44" applyNumberFormat="1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169" fontId="23" fillId="0" borderId="12" xfId="44" applyNumberFormat="1" applyFont="1" applyBorder="1" applyAlignment="1">
      <alignment vertical="center"/>
    </xf>
    <xf numFmtId="169" fontId="23" fillId="0" borderId="28" xfId="44" applyNumberFormat="1" applyFont="1" applyBorder="1" applyAlignment="1">
      <alignment vertical="center"/>
    </xf>
    <xf numFmtId="3" fontId="13" fillId="0" borderId="22" xfId="44" applyNumberFormat="1" applyFont="1" applyBorder="1" applyAlignment="1">
      <alignment horizontal="right" vertical="top"/>
    </xf>
    <xf numFmtId="3" fontId="13" fillId="0" borderId="22" xfId="44" applyNumberFormat="1" applyFont="1" applyFill="1" applyBorder="1" applyAlignment="1">
      <alignment horizontal="right" vertical="top"/>
    </xf>
    <xf numFmtId="4" fontId="13" fillId="0" borderId="22" xfId="44" applyNumberFormat="1" applyFont="1" applyBorder="1" applyAlignment="1">
      <alignment horizontal="right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justify" vertical="top"/>
    </xf>
    <xf numFmtId="2" fontId="12" fillId="0" borderId="22" xfId="0" applyNumberFormat="1" applyFont="1" applyBorder="1" applyAlignment="1">
      <alignment horizontal="left" vertical="top" wrapText="1"/>
    </xf>
    <xf numFmtId="3" fontId="16" fillId="0" borderId="22" xfId="44" applyNumberFormat="1" applyFont="1" applyBorder="1" applyAlignment="1">
      <alignment horizontal="right" vertical="top"/>
    </xf>
    <xf numFmtId="3" fontId="16" fillId="0" borderId="22" xfId="44" applyNumberFormat="1" applyFont="1" applyFill="1" applyBorder="1" applyAlignment="1">
      <alignment horizontal="right" vertical="top"/>
    </xf>
    <xf numFmtId="4" fontId="13" fillId="0" borderId="22" xfId="44" applyNumberFormat="1" applyFont="1" applyBorder="1" applyAlignment="1">
      <alignment horizontal="center" vertical="top"/>
    </xf>
    <xf numFmtId="189" fontId="15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justify" vertical="top"/>
    </xf>
    <xf numFmtId="3" fontId="16" fillId="0" borderId="22" xfId="44" applyNumberFormat="1" applyFont="1" applyFill="1" applyBorder="1" applyAlignment="1">
      <alignment horizontal="center" vertical="top"/>
    </xf>
    <xf numFmtId="10" fontId="1" fillId="0" borderId="0" xfId="70" applyNumberFormat="1" applyAlignment="1">
      <alignment vertical="center" wrapText="1"/>
    </xf>
    <xf numFmtId="190" fontId="1" fillId="0" borderId="0" xfId="70" applyNumberFormat="1" applyAlignment="1">
      <alignment vertical="center" wrapText="1"/>
    </xf>
    <xf numFmtId="10" fontId="1" fillId="0" borderId="0" xfId="70" applyNumberFormat="1" applyAlignment="1">
      <alignment horizontal="right" vertical="center" wrapText="1" indent="1"/>
    </xf>
    <xf numFmtId="10" fontId="1" fillId="0" borderId="0" xfId="70" applyNumberForma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center"/>
    </xf>
    <xf numFmtId="0" fontId="16" fillId="0" borderId="22" xfId="0" applyFont="1" applyBorder="1" applyAlignment="1">
      <alignment wrapText="1"/>
    </xf>
    <xf numFmtId="49" fontId="13" fillId="0" borderId="22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3" fontId="16" fillId="33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8" fillId="0" borderId="67" xfId="0" applyNumberFormat="1" applyFont="1" applyBorder="1" applyAlignment="1">
      <alignment horizontal="left" vertical="center"/>
    </xf>
    <xf numFmtId="49" fontId="28" fillId="0" borderId="87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49" fontId="28" fillId="0" borderId="22" xfId="0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0" borderId="6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23" fillId="0" borderId="106" xfId="0" applyNumberFormat="1" applyFont="1" applyBorder="1" applyAlignment="1">
      <alignment horizontal="center" vertical="center"/>
    </xf>
    <xf numFmtId="3" fontId="23" fillId="0" borderId="55" xfId="0" applyNumberFormat="1" applyFont="1" applyBorder="1" applyAlignment="1">
      <alignment horizontal="center" vertical="center"/>
    </xf>
    <xf numFmtId="3" fontId="23" fillId="0" borderId="77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66" fontId="10" fillId="0" borderId="105" xfId="0" applyNumberFormat="1" applyFont="1" applyBorder="1" applyAlignment="1">
      <alignment horizontal="center" vertical="center" wrapText="1"/>
    </xf>
    <xf numFmtId="166" fontId="10" fillId="0" borderId="109" xfId="0" applyNumberFormat="1" applyFont="1" applyBorder="1" applyAlignment="1">
      <alignment horizontal="center" vertical="center" wrapText="1"/>
    </xf>
    <xf numFmtId="166" fontId="10" fillId="0" borderId="110" xfId="0" applyNumberFormat="1" applyFont="1" applyBorder="1" applyAlignment="1">
      <alignment horizontal="center" vertical="center" wrapText="1"/>
    </xf>
    <xf numFmtId="166" fontId="10" fillId="0" borderId="111" xfId="0" applyNumberFormat="1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5" fillId="0" borderId="112" xfId="61" applyFont="1" applyBorder="1" applyAlignment="1">
      <alignment horizontal="center" vertical="center" wrapText="1"/>
      <protection/>
    </xf>
    <xf numFmtId="0" fontId="25" fillId="0" borderId="113" xfId="61" applyFont="1" applyBorder="1" applyAlignment="1">
      <alignment horizontal="center" vertical="center" wrapText="1"/>
      <protection/>
    </xf>
    <xf numFmtId="0" fontId="16" fillId="0" borderId="49" xfId="61" applyFont="1" applyBorder="1" applyAlignment="1">
      <alignment horizontal="left"/>
      <protection/>
    </xf>
    <xf numFmtId="0" fontId="16" fillId="0" borderId="84" xfId="61" applyFont="1" applyBorder="1" applyAlignment="1">
      <alignment horizontal="left"/>
      <protection/>
    </xf>
    <xf numFmtId="0" fontId="16" fillId="0" borderId="114" xfId="61" applyFont="1" applyBorder="1" applyAlignment="1">
      <alignment horizontal="center"/>
      <protection/>
    </xf>
    <xf numFmtId="0" fontId="16" fillId="0" borderId="115" xfId="61" applyFont="1" applyBorder="1" applyAlignment="1">
      <alignment horizontal="center" vertical="center" wrapText="1"/>
      <protection/>
    </xf>
    <xf numFmtId="0" fontId="16" fillId="0" borderId="83" xfId="61" applyFont="1" applyBorder="1" applyAlignment="1">
      <alignment horizontal="center" vertical="center" wrapText="1"/>
      <protection/>
    </xf>
    <xf numFmtId="0" fontId="16" fillId="0" borderId="116" xfId="61" applyFont="1" applyBorder="1" applyAlignment="1">
      <alignment horizontal="center" vertical="center" wrapText="1"/>
      <protection/>
    </xf>
    <xf numFmtId="0" fontId="16" fillId="0" borderId="84" xfId="61" applyFont="1" applyBorder="1" applyAlignment="1">
      <alignment horizontal="center" vertical="center" wrapText="1"/>
      <protection/>
    </xf>
    <xf numFmtId="0" fontId="16" fillId="0" borderId="51" xfId="61" applyFont="1" applyBorder="1" applyAlignment="1">
      <alignment horizontal="center" vertical="center" wrapText="1"/>
      <protection/>
    </xf>
    <xf numFmtId="0" fontId="16" fillId="0" borderId="116" xfId="61" applyFont="1" applyBorder="1" applyAlignment="1">
      <alignment horizontal="center" vertical="center"/>
      <protection/>
    </xf>
    <xf numFmtId="0" fontId="16" fillId="0" borderId="51" xfId="61" applyFont="1" applyBorder="1" applyAlignment="1">
      <alignment horizontal="center" vertical="center"/>
      <protection/>
    </xf>
    <xf numFmtId="0" fontId="16" fillId="0" borderId="0" xfId="61" applyFont="1">
      <alignment/>
      <protection/>
    </xf>
    <xf numFmtId="0" fontId="23" fillId="0" borderId="0" xfId="61" applyFont="1" applyAlignment="1">
      <alignment horizontal="center"/>
      <protection/>
    </xf>
    <xf numFmtId="0" fontId="16" fillId="0" borderId="117" xfId="61" applyFont="1" applyBorder="1" applyAlignment="1">
      <alignment horizontal="center" vertical="center"/>
      <protection/>
    </xf>
    <xf numFmtId="0" fontId="16" fillId="0" borderId="118" xfId="61" applyFont="1" applyBorder="1" applyAlignment="1">
      <alignment horizontal="center" vertical="center"/>
      <protection/>
    </xf>
    <xf numFmtId="0" fontId="16" fillId="0" borderId="119" xfId="60" applyFont="1" applyBorder="1" applyAlignment="1">
      <alignment horizontal="center" vertical="center"/>
      <protection/>
    </xf>
    <xf numFmtId="0" fontId="16" fillId="0" borderId="120" xfId="60" applyFont="1" applyBorder="1" applyAlignment="1">
      <alignment horizontal="center" vertical="center"/>
      <protection/>
    </xf>
    <xf numFmtId="0" fontId="16" fillId="0" borderId="121" xfId="61" applyFont="1" applyBorder="1" applyAlignment="1">
      <alignment horizontal="center" vertical="center"/>
      <protection/>
    </xf>
    <xf numFmtId="0" fontId="16" fillId="0" borderId="122" xfId="61" applyFont="1" applyBorder="1" applyAlignment="1">
      <alignment horizontal="center" vertical="center"/>
      <protection/>
    </xf>
    <xf numFmtId="0" fontId="16" fillId="0" borderId="123" xfId="61" applyFont="1" applyBorder="1" applyAlignment="1">
      <alignment horizontal="center" vertical="center"/>
      <protection/>
    </xf>
    <xf numFmtId="0" fontId="16" fillId="0" borderId="124" xfId="61" applyFont="1" applyBorder="1" applyAlignment="1">
      <alignment horizontal="center"/>
      <protection/>
    </xf>
    <xf numFmtId="0" fontId="16" fillId="0" borderId="125" xfId="61" applyFont="1" applyBorder="1" applyAlignment="1">
      <alignment horizontal="center"/>
      <protection/>
    </xf>
    <xf numFmtId="3" fontId="16" fillId="0" borderId="116" xfId="61" applyNumberFormat="1" applyFont="1" applyBorder="1" applyAlignment="1">
      <alignment horizontal="center" vertical="center" wrapText="1"/>
      <protection/>
    </xf>
    <xf numFmtId="0" fontId="23" fillId="0" borderId="95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3" fillId="0" borderId="127" xfId="0" applyFont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 wrapText="1"/>
    </xf>
    <xf numFmtId="0" fontId="23" fillId="0" borderId="12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30" xfId="0" applyFont="1" applyBorder="1" applyAlignment="1">
      <alignment horizontal="center" vertical="center" wrapText="1"/>
    </xf>
    <xf numFmtId="0" fontId="23" fillId="0" borderId="0" xfId="0" applyFont="1" applyAlignment="1">
      <alignment horizontal="center" shrinkToFit="1"/>
    </xf>
    <xf numFmtId="0" fontId="23" fillId="0" borderId="3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2" xfId="61" applyFont="1" applyBorder="1" applyAlignment="1">
      <alignment horizontal="left" vertical="center"/>
      <protection/>
    </xf>
    <xf numFmtId="0" fontId="23" fillId="0" borderId="67" xfId="61" applyFont="1" applyBorder="1">
      <alignment/>
      <protection/>
    </xf>
    <xf numFmtId="0" fontId="0" fillId="0" borderId="87" xfId="0" applyBorder="1" applyAlignment="1">
      <alignment/>
    </xf>
    <xf numFmtId="0" fontId="0" fillId="0" borderId="24" xfId="0" applyBorder="1" applyAlignment="1">
      <alignment/>
    </xf>
    <xf numFmtId="0" fontId="25" fillId="0" borderId="22" xfId="61" applyFont="1" applyBorder="1" applyAlignment="1">
      <alignment horizontal="left" vertical="center"/>
      <protection/>
    </xf>
    <xf numFmtId="0" fontId="31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16" fillId="0" borderId="131" xfId="60" applyFont="1" applyBorder="1" applyAlignment="1">
      <alignment horizontal="center" vertical="center"/>
      <protection/>
    </xf>
    <xf numFmtId="0" fontId="16" fillId="0" borderId="101" xfId="60" applyFont="1" applyBorder="1" applyAlignment="1">
      <alignment horizontal="center" vertical="center"/>
      <protection/>
    </xf>
    <xf numFmtId="0" fontId="16" fillId="0" borderId="131" xfId="61" applyFont="1" applyBorder="1" applyAlignment="1">
      <alignment horizontal="center" vertical="center"/>
      <protection/>
    </xf>
    <xf numFmtId="0" fontId="16" fillId="0" borderId="101" xfId="61" applyFont="1" applyBorder="1" applyAlignment="1">
      <alignment horizontal="center" vertical="center"/>
      <protection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67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22" xfId="0" applyFont="1" applyBorder="1" applyAlignment="1">
      <alignment horizontal="left" vertical="center"/>
    </xf>
    <xf numFmtId="0" fontId="39" fillId="0" borderId="0" xfId="71" applyFont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108" xfId="71" applyFont="1" applyBorder="1" applyAlignment="1">
      <alignment horizontal="center" vertical="center"/>
      <protection/>
    </xf>
    <xf numFmtId="0" fontId="33" fillId="0" borderId="68" xfId="0" applyFont="1" applyBorder="1" applyAlignment="1">
      <alignment horizontal="left"/>
    </xf>
    <xf numFmtId="0" fontId="33" fillId="0" borderId="69" xfId="0" applyFont="1" applyBorder="1" applyAlignment="1">
      <alignment horizontal="left"/>
    </xf>
    <xf numFmtId="0" fontId="33" fillId="0" borderId="70" xfId="0" applyFont="1" applyBorder="1" applyAlignment="1">
      <alignment horizontal="left"/>
    </xf>
    <xf numFmtId="0" fontId="33" fillId="0" borderId="71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top" wrapText="1"/>
    </xf>
    <xf numFmtId="0" fontId="12" fillId="0" borderId="87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zres 2" xfId="40"/>
    <cellStyle name="Excel Built-in Normál 2" xfId="41"/>
    <cellStyle name="Excel Built-in Normál 2 2" xfId="42"/>
    <cellStyle name="Excel Built-in Normál 4" xfId="43"/>
    <cellStyle name="Comma" xfId="44"/>
    <cellStyle name="Comma [0]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_2011 ktv. táblák" xfId="60"/>
    <cellStyle name="Normál_9702KV1_2011 ktv. táblák" xfId="61"/>
    <cellStyle name="Normál_Közös Hivatal szakfeladatosa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TableStyleLigh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94"/>
  <sheetViews>
    <sheetView showZeros="0" view="pageBreakPreview" zoomScale="85" zoomScaleSheetLayoutView="85" workbookViewId="0" topLeftCell="A1">
      <selection activeCell="H16" sqref="H16"/>
    </sheetView>
  </sheetViews>
  <sheetFormatPr defaultColWidth="13.50390625" defaultRowHeight="12.75"/>
  <cols>
    <col min="1" max="1" width="5.00390625" style="611" customWidth="1"/>
    <col min="2" max="2" width="5.625" style="611" customWidth="1"/>
    <col min="3" max="3" width="5.625" style="624" customWidth="1"/>
    <col min="4" max="4" width="7.875" style="625" customWidth="1"/>
    <col min="5" max="5" width="54.50390625" style="611" customWidth="1"/>
    <col min="6" max="8" width="23.875" style="623" customWidth="1"/>
    <col min="9" max="10" width="5.625" style="611" customWidth="1"/>
    <col min="11" max="11" width="65.375" style="611" customWidth="1"/>
    <col min="12" max="14" width="23.875" style="611" bestFit="1" customWidth="1"/>
    <col min="15" max="81" width="14.625" style="611" customWidth="1"/>
    <col min="82" max="16384" width="13.50390625" style="550" customWidth="1"/>
  </cols>
  <sheetData>
    <row r="1" spans="1:14" ht="15">
      <c r="A1" s="694" t="s">
        <v>1134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</row>
    <row r="2" spans="2:13" ht="15.75" thickBot="1"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7"/>
      <c r="M2" s="627"/>
    </row>
    <row r="3" spans="1:81" ht="13.5" customHeight="1">
      <c r="A3" s="677" t="s">
        <v>19</v>
      </c>
      <c r="B3" s="678"/>
      <c r="C3" s="678"/>
      <c r="D3" s="678"/>
      <c r="E3" s="678"/>
      <c r="F3" s="681" t="s">
        <v>1071</v>
      </c>
      <c r="G3" s="681" t="s">
        <v>1078</v>
      </c>
      <c r="H3" s="681" t="s">
        <v>1086</v>
      </c>
      <c r="I3" s="696" t="s">
        <v>20</v>
      </c>
      <c r="J3" s="696"/>
      <c r="K3" s="697"/>
      <c r="L3" s="681" t="s">
        <v>1071</v>
      </c>
      <c r="M3" s="681" t="s">
        <v>1078</v>
      </c>
      <c r="N3" s="672" t="s">
        <v>1086</v>
      </c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</row>
    <row r="4" spans="1:14" ht="30.75" customHeight="1">
      <c r="A4" s="679"/>
      <c r="B4" s="680"/>
      <c r="C4" s="680"/>
      <c r="D4" s="680"/>
      <c r="E4" s="680"/>
      <c r="F4" s="682"/>
      <c r="G4" s="682"/>
      <c r="H4" s="682"/>
      <c r="I4" s="698"/>
      <c r="J4" s="698"/>
      <c r="K4" s="699"/>
      <c r="L4" s="682"/>
      <c r="M4" s="682"/>
      <c r="N4" s="673"/>
    </row>
    <row r="5" spans="1:14" ht="39.75" customHeight="1">
      <c r="A5" s="639" t="s">
        <v>21</v>
      </c>
      <c r="B5" s="683" t="s">
        <v>22</v>
      </c>
      <c r="C5" s="683"/>
      <c r="D5" s="683"/>
      <c r="E5" s="683"/>
      <c r="F5" s="613">
        <f>SUM(F6:F13)</f>
        <v>1012954105</v>
      </c>
      <c r="G5" s="613">
        <f>SUM(G6:G13)</f>
        <v>994980020</v>
      </c>
      <c r="H5" s="613">
        <f>SUM(H6:H13)</f>
        <v>436411551</v>
      </c>
      <c r="I5" s="683" t="s">
        <v>23</v>
      </c>
      <c r="J5" s="683"/>
      <c r="K5" s="683"/>
      <c r="L5" s="614">
        <f>SUM(L6:L13)</f>
        <v>1589991074.56</v>
      </c>
      <c r="M5" s="614">
        <f>M6+M7+M8+M9+M10+M11+M12</f>
        <v>1572016989.56</v>
      </c>
      <c r="N5" s="640">
        <f>N6+N7+N8+N9+N10+N11+N12</f>
        <v>464783641</v>
      </c>
    </row>
    <row r="6" spans="1:14" ht="39.75" customHeight="1">
      <c r="A6" s="638"/>
      <c r="B6" s="615" t="s">
        <v>0</v>
      </c>
      <c r="C6" s="684" t="s">
        <v>33</v>
      </c>
      <c r="D6" s="684"/>
      <c r="E6" s="684"/>
      <c r="F6" s="390">
        <f>'3.mell'!D6</f>
        <v>224180800</v>
      </c>
      <c r="G6" s="390">
        <f>'3.mell'!E6</f>
        <v>227606715</v>
      </c>
      <c r="H6" s="390">
        <f>'3.mell'!F6</f>
        <v>127521734</v>
      </c>
      <c r="I6" s="617" t="s">
        <v>0</v>
      </c>
      <c r="J6" s="685" t="s">
        <v>16</v>
      </c>
      <c r="K6" s="685"/>
      <c r="L6" s="618">
        <f>'3.mell'!D83</f>
        <v>355011733</v>
      </c>
      <c r="M6" s="618">
        <f>'3.mell'!E83</f>
        <v>328121733</v>
      </c>
      <c r="N6" s="641">
        <f>'3.mell'!F83</f>
        <v>151057017</v>
      </c>
    </row>
    <row r="7" spans="1:14" ht="39.75" customHeight="1">
      <c r="A7" s="638"/>
      <c r="B7" s="615" t="s">
        <v>1</v>
      </c>
      <c r="C7" s="674" t="s">
        <v>24</v>
      </c>
      <c r="D7" s="675"/>
      <c r="E7" s="676"/>
      <c r="F7" s="390">
        <f>'3.mell'!D13</f>
        <v>16680000</v>
      </c>
      <c r="G7" s="390">
        <f>'3.mell'!E13</f>
        <v>16680000</v>
      </c>
      <c r="H7" s="390">
        <f>'3.mell'!F13</f>
        <v>9755874</v>
      </c>
      <c r="I7" s="615" t="s">
        <v>1</v>
      </c>
      <c r="J7" s="616" t="s">
        <v>8</v>
      </c>
      <c r="K7" s="616"/>
      <c r="L7" s="618">
        <f>'3.mell'!D84</f>
        <v>69558506</v>
      </c>
      <c r="M7" s="618">
        <f>'3.mell'!E84</f>
        <v>64448506</v>
      </c>
      <c r="N7" s="641">
        <f>'3.mell'!F84</f>
        <v>29210434</v>
      </c>
    </row>
    <row r="8" spans="1:14" ht="39.75" customHeight="1">
      <c r="A8" s="642"/>
      <c r="B8" s="617" t="s">
        <v>2</v>
      </c>
      <c r="C8" s="684" t="s">
        <v>25</v>
      </c>
      <c r="D8" s="684"/>
      <c r="E8" s="684"/>
      <c r="F8" s="390">
        <f>'3.mell'!D20</f>
        <v>74900000</v>
      </c>
      <c r="G8" s="390">
        <f>'3.mell'!E20</f>
        <v>74900000</v>
      </c>
      <c r="H8" s="390">
        <f>'3.mell'!F20</f>
        <v>0</v>
      </c>
      <c r="I8" s="617" t="s">
        <v>2</v>
      </c>
      <c r="J8" s="617" t="s">
        <v>17</v>
      </c>
      <c r="K8" s="617"/>
      <c r="L8" s="618">
        <f>'3.mell'!D85</f>
        <v>367966700</v>
      </c>
      <c r="M8" s="618">
        <f>'3.mell'!E85</f>
        <v>312893737</v>
      </c>
      <c r="N8" s="641">
        <f>'3.mell'!F85</f>
        <v>125251444</v>
      </c>
    </row>
    <row r="9" spans="1:14" ht="39.75" customHeight="1">
      <c r="A9" s="642"/>
      <c r="B9" s="615" t="s">
        <v>3</v>
      </c>
      <c r="C9" s="685" t="s">
        <v>13</v>
      </c>
      <c r="D9" s="685"/>
      <c r="E9" s="685"/>
      <c r="F9" s="390">
        <f>'3.mell'!D27</f>
        <v>520500000</v>
      </c>
      <c r="G9" s="390">
        <f>'3.mell'!E27</f>
        <v>499100000</v>
      </c>
      <c r="H9" s="390">
        <f>'3.mell'!F27</f>
        <v>269470527</v>
      </c>
      <c r="I9" s="619" t="s">
        <v>3</v>
      </c>
      <c r="J9" s="617" t="s">
        <v>9</v>
      </c>
      <c r="K9" s="617"/>
      <c r="L9" s="618">
        <f>'3.mell'!D86</f>
        <v>5200000</v>
      </c>
      <c r="M9" s="618">
        <f>'3.mell'!E86</f>
        <v>5200000</v>
      </c>
      <c r="N9" s="641">
        <f>'3.mell'!F86</f>
        <v>2523939</v>
      </c>
    </row>
    <row r="10" spans="1:14" ht="39.75" customHeight="1">
      <c r="A10" s="638"/>
      <c r="B10" s="615" t="s">
        <v>4</v>
      </c>
      <c r="C10" s="685" t="s">
        <v>26</v>
      </c>
      <c r="D10" s="685"/>
      <c r="E10" s="683"/>
      <c r="F10" s="390">
        <f>'3.mell'!D37</f>
        <v>126693305</v>
      </c>
      <c r="G10" s="390">
        <f>'3.mell'!E37</f>
        <v>126693305</v>
      </c>
      <c r="H10" s="390">
        <f>'3.mell'!F37</f>
        <v>28605936</v>
      </c>
      <c r="I10" s="615" t="s">
        <v>4</v>
      </c>
      <c r="J10" s="617" t="s">
        <v>10</v>
      </c>
      <c r="K10" s="617"/>
      <c r="L10" s="618">
        <f>'3.mell'!D87</f>
        <v>204728158</v>
      </c>
      <c r="M10" s="618">
        <f>'3.mell'!E87</f>
        <v>379417268</v>
      </c>
      <c r="N10" s="641">
        <f>'3.mell'!F87</f>
        <v>65507531</v>
      </c>
    </row>
    <row r="11" spans="1:14" ht="39.75" customHeight="1">
      <c r="A11" s="642"/>
      <c r="B11" s="617" t="s">
        <v>5</v>
      </c>
      <c r="C11" s="684" t="s">
        <v>18</v>
      </c>
      <c r="D11" s="684"/>
      <c r="E11" s="684"/>
      <c r="F11" s="390">
        <f>'3.mell'!D49</f>
        <v>50000000</v>
      </c>
      <c r="G11" s="390">
        <f>'3.mell'!E49</f>
        <v>50000000</v>
      </c>
      <c r="H11" s="390">
        <f>'3.mell'!F49</f>
        <v>57480</v>
      </c>
      <c r="I11" s="615" t="s">
        <v>5</v>
      </c>
      <c r="J11" s="617" t="s">
        <v>11</v>
      </c>
      <c r="K11" s="617"/>
      <c r="L11" s="618">
        <f>'3.mell'!D102</f>
        <v>578270977.56</v>
      </c>
      <c r="M11" s="618">
        <f>'3.mell'!E102</f>
        <v>468880745.56</v>
      </c>
      <c r="N11" s="641">
        <f>'3.mell'!F102</f>
        <v>90786668</v>
      </c>
    </row>
    <row r="12" spans="1:14" ht="39.75" customHeight="1">
      <c r="A12" s="638"/>
      <c r="B12" s="615" t="s">
        <v>6</v>
      </c>
      <c r="C12" s="685" t="s">
        <v>14</v>
      </c>
      <c r="D12" s="685"/>
      <c r="E12" s="685"/>
      <c r="F12" s="390">
        <f>+'3.mell'!D55</f>
        <v>0</v>
      </c>
      <c r="G12" s="390">
        <f>+'3.mell'!E55</f>
        <v>0</v>
      </c>
      <c r="H12" s="390">
        <f>+'3.mell'!F55</f>
        <v>1000000</v>
      </c>
      <c r="I12" s="615" t="s">
        <v>6</v>
      </c>
      <c r="J12" s="617" t="s">
        <v>12</v>
      </c>
      <c r="K12" s="617"/>
      <c r="L12" s="618">
        <f>'3.mell'!D103</f>
        <v>9255000</v>
      </c>
      <c r="M12" s="618">
        <f>'3.mell'!E103</f>
        <v>13055000</v>
      </c>
      <c r="N12" s="641">
        <f>'3.mell'!F103</f>
        <v>446608</v>
      </c>
    </row>
    <row r="13" spans="1:14" ht="39.75" customHeight="1">
      <c r="A13" s="642"/>
      <c r="B13" s="615" t="s">
        <v>7</v>
      </c>
      <c r="C13" s="684" t="s">
        <v>15</v>
      </c>
      <c r="D13" s="684"/>
      <c r="E13" s="684"/>
      <c r="F13" s="390"/>
      <c r="G13" s="390"/>
      <c r="H13" s="390"/>
      <c r="I13" s="615" t="s">
        <v>7</v>
      </c>
      <c r="J13" s="685" t="s">
        <v>27</v>
      </c>
      <c r="K13" s="685"/>
      <c r="L13" s="618">
        <f>'2.mell'!G43</f>
        <v>0</v>
      </c>
      <c r="M13" s="618">
        <f>'2.mell'!H43</f>
        <v>0</v>
      </c>
      <c r="N13" s="641">
        <f>'2.mell'!I43</f>
        <v>0</v>
      </c>
    </row>
    <row r="14" spans="1:14" ht="39.75" customHeight="1">
      <c r="A14" s="638" t="s">
        <v>28</v>
      </c>
      <c r="B14" s="693" t="s">
        <v>29</v>
      </c>
      <c r="C14" s="693"/>
      <c r="D14" s="693"/>
      <c r="E14" s="693"/>
      <c r="F14" s="613">
        <f>'3.mell'!D74</f>
        <v>1048815698</v>
      </c>
      <c r="G14" s="613">
        <f>'3.mell'!E74</f>
        <v>991435698</v>
      </c>
      <c r="H14" s="613">
        <f>'3.mell'!F74</f>
        <v>813229202</v>
      </c>
      <c r="I14" s="683" t="s">
        <v>30</v>
      </c>
      <c r="J14" s="683"/>
      <c r="K14" s="683"/>
      <c r="L14" s="614">
        <f>'3.mell'!D114</f>
        <v>471778728</v>
      </c>
      <c r="M14" s="614">
        <f>'3.mell'!E114</f>
        <v>414398728</v>
      </c>
      <c r="N14" s="640">
        <f>'3.mell'!F114</f>
        <v>186085361</v>
      </c>
    </row>
    <row r="15" spans="1:14" ht="39.75" customHeight="1" thickBot="1">
      <c r="A15" s="688" t="s">
        <v>31</v>
      </c>
      <c r="B15" s="689"/>
      <c r="C15" s="689"/>
      <c r="D15" s="689"/>
      <c r="E15" s="689"/>
      <c r="F15" s="643">
        <f>F5+F14</f>
        <v>2061769803</v>
      </c>
      <c r="G15" s="643">
        <f>G5+G14</f>
        <v>1986415718</v>
      </c>
      <c r="H15" s="643">
        <f>H5+H14+4</f>
        <v>1249640757</v>
      </c>
      <c r="I15" s="690" t="s">
        <v>32</v>
      </c>
      <c r="J15" s="691"/>
      <c r="K15" s="692"/>
      <c r="L15" s="644">
        <f>L5+L14</f>
        <v>2061769802.56</v>
      </c>
      <c r="M15" s="644">
        <f>M5+M14</f>
        <v>1986415717.56</v>
      </c>
      <c r="N15" s="645">
        <f>N5+N14</f>
        <v>650869002</v>
      </c>
    </row>
    <row r="16" spans="1:13" ht="15">
      <c r="A16" s="629"/>
      <c r="B16" s="630"/>
      <c r="C16" s="686"/>
      <c r="D16" s="686"/>
      <c r="E16" s="686"/>
      <c r="F16" s="620"/>
      <c r="G16" s="620"/>
      <c r="H16" s="620"/>
      <c r="I16" s="631"/>
      <c r="J16" s="631"/>
      <c r="K16" s="631"/>
      <c r="L16" s="621"/>
      <c r="M16" s="621"/>
    </row>
    <row r="17" spans="1:13" ht="15">
      <c r="A17" s="629"/>
      <c r="B17" s="632"/>
      <c r="C17" s="630"/>
      <c r="D17" s="630"/>
      <c r="E17" s="630"/>
      <c r="F17" s="620"/>
      <c r="G17" s="620"/>
      <c r="H17" s="620"/>
      <c r="I17" s="632"/>
      <c r="J17" s="632"/>
      <c r="K17" s="632"/>
      <c r="L17" s="621"/>
      <c r="M17" s="621"/>
    </row>
    <row r="18" spans="1:13" ht="15">
      <c r="A18" s="629"/>
      <c r="B18" s="632"/>
      <c r="C18" s="630"/>
      <c r="D18" s="630"/>
      <c r="E18" s="630"/>
      <c r="F18" s="620"/>
      <c r="G18" s="620"/>
      <c r="H18" s="620"/>
      <c r="I18" s="632"/>
      <c r="J18" s="632"/>
      <c r="K18" s="632"/>
      <c r="L18" s="621"/>
      <c r="M18" s="621"/>
    </row>
    <row r="19" spans="1:13" ht="15">
      <c r="A19" s="629"/>
      <c r="B19" s="630"/>
      <c r="C19" s="686"/>
      <c r="D19" s="686"/>
      <c r="E19" s="686"/>
      <c r="F19" s="620"/>
      <c r="G19" s="620"/>
      <c r="H19" s="620"/>
      <c r="I19" s="632"/>
      <c r="J19" s="632"/>
      <c r="K19" s="632"/>
      <c r="L19" s="621"/>
      <c r="M19" s="621"/>
    </row>
    <row r="20" spans="1:13" ht="15">
      <c r="A20" s="629"/>
      <c r="B20" s="630"/>
      <c r="C20" s="686"/>
      <c r="D20" s="686"/>
      <c r="E20" s="686"/>
      <c r="F20" s="620"/>
      <c r="G20" s="620"/>
      <c r="H20" s="620"/>
      <c r="I20" s="633"/>
      <c r="J20" s="633"/>
      <c r="K20" s="633"/>
      <c r="L20" s="621"/>
      <c r="M20" s="621"/>
    </row>
    <row r="21" spans="1:13" ht="15">
      <c r="A21" s="629"/>
      <c r="B21" s="630"/>
      <c r="C21" s="686"/>
      <c r="D21" s="686"/>
      <c r="E21" s="686"/>
      <c r="F21" s="620"/>
      <c r="G21" s="620"/>
      <c r="H21" s="620"/>
      <c r="I21" s="621"/>
      <c r="J21" s="621"/>
      <c r="K21" s="621"/>
      <c r="L21" s="621"/>
      <c r="M21" s="621"/>
    </row>
    <row r="22" spans="1:13" ht="15.75" customHeight="1">
      <c r="A22" s="629"/>
      <c r="B22" s="630"/>
      <c r="C22" s="686"/>
      <c r="D22" s="686"/>
      <c r="E22" s="686"/>
      <c r="F22" s="620"/>
      <c r="G22" s="620"/>
      <c r="H22" s="620"/>
      <c r="I22" s="634"/>
      <c r="J22" s="634"/>
      <c r="K22" s="634"/>
      <c r="L22" s="621"/>
      <c r="M22" s="621"/>
    </row>
    <row r="23" spans="1:13" ht="15">
      <c r="A23" s="626"/>
      <c r="B23" s="633"/>
      <c r="C23" s="633"/>
      <c r="D23" s="633"/>
      <c r="E23" s="633"/>
      <c r="F23" s="620"/>
      <c r="G23" s="620"/>
      <c r="H23" s="620"/>
      <c r="I23" s="633"/>
      <c r="J23" s="633"/>
      <c r="K23" s="633"/>
      <c r="L23" s="621"/>
      <c r="M23" s="621"/>
    </row>
    <row r="24" spans="1:13" ht="15">
      <c r="A24" s="626"/>
      <c r="B24" s="631"/>
      <c r="C24" s="686"/>
      <c r="D24" s="686"/>
      <c r="E24" s="686"/>
      <c r="F24" s="620"/>
      <c r="G24" s="620"/>
      <c r="H24" s="620"/>
      <c r="I24" s="631"/>
      <c r="J24" s="631"/>
      <c r="K24" s="631"/>
      <c r="L24" s="621"/>
      <c r="M24" s="621"/>
    </row>
    <row r="25" spans="1:13" ht="15">
      <c r="A25" s="626"/>
      <c r="B25" s="631"/>
      <c r="C25" s="686"/>
      <c r="D25" s="686"/>
      <c r="E25" s="686"/>
      <c r="F25" s="620"/>
      <c r="G25" s="620"/>
      <c r="H25" s="620"/>
      <c r="I25" s="631"/>
      <c r="J25" s="631"/>
      <c r="K25" s="631"/>
      <c r="L25" s="621"/>
      <c r="M25" s="621"/>
    </row>
    <row r="26" spans="1:13" ht="15">
      <c r="A26" s="635"/>
      <c r="B26" s="695"/>
      <c r="C26" s="695"/>
      <c r="D26" s="695"/>
      <c r="E26" s="695"/>
      <c r="F26" s="620"/>
      <c r="G26" s="620"/>
      <c r="H26" s="620"/>
      <c r="I26" s="631"/>
      <c r="J26" s="631"/>
      <c r="K26" s="631"/>
      <c r="L26" s="621"/>
      <c r="M26" s="621"/>
    </row>
    <row r="27" spans="1:13" ht="15">
      <c r="A27" s="635"/>
      <c r="B27" s="687"/>
      <c r="C27" s="687"/>
      <c r="D27" s="687"/>
      <c r="E27" s="687"/>
      <c r="F27" s="620"/>
      <c r="G27" s="620"/>
      <c r="H27" s="620"/>
      <c r="I27" s="632"/>
      <c r="J27" s="632"/>
      <c r="K27" s="632"/>
      <c r="L27" s="621"/>
      <c r="M27" s="621"/>
    </row>
    <row r="28" spans="1:13" ht="15">
      <c r="A28" s="635"/>
      <c r="B28" s="687"/>
      <c r="C28" s="687"/>
      <c r="D28" s="687"/>
      <c r="E28" s="687"/>
      <c r="F28" s="620"/>
      <c r="G28" s="620"/>
      <c r="H28" s="620"/>
      <c r="I28" s="632"/>
      <c r="J28" s="632"/>
      <c r="K28" s="632"/>
      <c r="L28" s="621"/>
      <c r="M28" s="621"/>
    </row>
    <row r="29" spans="1:13" ht="15">
      <c r="A29" s="635"/>
      <c r="B29" s="621"/>
      <c r="C29" s="635"/>
      <c r="D29" s="635"/>
      <c r="E29" s="635"/>
      <c r="F29" s="620"/>
      <c r="G29" s="620"/>
      <c r="H29" s="620"/>
      <c r="I29" s="631"/>
      <c r="J29" s="631"/>
      <c r="K29" s="631"/>
      <c r="L29" s="621"/>
      <c r="M29" s="621"/>
    </row>
    <row r="30" spans="1:13" ht="15">
      <c r="A30" s="621"/>
      <c r="B30" s="621"/>
      <c r="C30" s="622"/>
      <c r="D30" s="622"/>
      <c r="E30" s="621"/>
      <c r="F30" s="620"/>
      <c r="G30" s="620"/>
      <c r="H30" s="620"/>
      <c r="I30" s="621"/>
      <c r="J30" s="621"/>
      <c r="K30" s="621"/>
      <c r="L30" s="621"/>
      <c r="M30" s="621"/>
    </row>
    <row r="31" spans="1:13" ht="15">
      <c r="A31" s="621"/>
      <c r="B31" s="621"/>
      <c r="C31" s="622"/>
      <c r="D31" s="622"/>
      <c r="E31" s="621"/>
      <c r="F31" s="620"/>
      <c r="G31" s="620"/>
      <c r="H31" s="620"/>
      <c r="I31" s="621"/>
      <c r="J31" s="621"/>
      <c r="K31" s="621"/>
      <c r="L31" s="636"/>
      <c r="M31" s="636"/>
    </row>
    <row r="32" spans="1:13" ht="15">
      <c r="A32" s="621"/>
      <c r="B32" s="621"/>
      <c r="C32" s="622"/>
      <c r="D32" s="622"/>
      <c r="E32" s="621"/>
      <c r="F32" s="620"/>
      <c r="G32" s="620"/>
      <c r="H32" s="620"/>
      <c r="L32" s="637"/>
      <c r="M32" s="637"/>
    </row>
    <row r="33" spans="1:8" ht="15">
      <c r="A33" s="621"/>
      <c r="B33" s="621"/>
      <c r="C33" s="622"/>
      <c r="D33" s="622"/>
      <c r="E33" s="621"/>
      <c r="F33" s="620"/>
      <c r="G33" s="620"/>
      <c r="H33" s="620"/>
    </row>
    <row r="34" spans="1:8" ht="15">
      <c r="A34" s="621"/>
      <c r="B34" s="621"/>
      <c r="C34" s="622"/>
      <c r="D34" s="622"/>
      <c r="E34" s="621"/>
      <c r="F34" s="620"/>
      <c r="G34" s="620"/>
      <c r="H34" s="620"/>
    </row>
    <row r="35" spans="1:8" ht="15">
      <c r="A35" s="621"/>
      <c r="B35" s="621"/>
      <c r="C35" s="622"/>
      <c r="D35" s="622"/>
      <c r="E35" s="621"/>
      <c r="F35" s="620"/>
      <c r="G35" s="620"/>
      <c r="H35" s="620"/>
    </row>
    <row r="36" spans="1:8" ht="15">
      <c r="A36" s="621"/>
      <c r="B36" s="621"/>
      <c r="C36" s="622"/>
      <c r="D36" s="622"/>
      <c r="E36" s="621"/>
      <c r="F36" s="620"/>
      <c r="G36" s="620"/>
      <c r="H36" s="620"/>
    </row>
    <row r="37" spans="1:8" ht="15">
      <c r="A37" s="621"/>
      <c r="B37" s="621"/>
      <c r="C37" s="622"/>
      <c r="D37" s="622"/>
      <c r="E37" s="621"/>
      <c r="F37" s="620"/>
      <c r="G37" s="620"/>
      <c r="H37" s="620"/>
    </row>
    <row r="38" spans="1:8" ht="15">
      <c r="A38" s="621"/>
      <c r="B38" s="621"/>
      <c r="C38" s="622"/>
      <c r="D38" s="622"/>
      <c r="E38" s="621"/>
      <c r="F38" s="620"/>
      <c r="G38" s="620"/>
      <c r="H38" s="620"/>
    </row>
    <row r="39" spans="3:5" ht="15">
      <c r="C39" s="622"/>
      <c r="D39" s="622"/>
      <c r="E39" s="621"/>
    </row>
    <row r="40" spans="3:5" ht="15">
      <c r="C40" s="622"/>
      <c r="D40" s="622"/>
      <c r="E40" s="621"/>
    </row>
    <row r="41" spans="3:5" ht="15">
      <c r="C41" s="622"/>
      <c r="D41" s="622"/>
      <c r="E41" s="621"/>
    </row>
    <row r="42" spans="3:5" ht="15">
      <c r="C42" s="622"/>
      <c r="D42" s="622"/>
      <c r="E42" s="621"/>
    </row>
    <row r="43" spans="3:5" ht="15">
      <c r="C43" s="622"/>
      <c r="D43" s="622"/>
      <c r="E43" s="621"/>
    </row>
    <row r="44" spans="3:5" ht="15">
      <c r="C44" s="622"/>
      <c r="D44" s="622"/>
      <c r="E44" s="621"/>
    </row>
    <row r="45" spans="3:5" ht="15">
      <c r="C45" s="622"/>
      <c r="D45" s="622"/>
      <c r="E45" s="621"/>
    </row>
    <row r="46" spans="3:5" ht="15">
      <c r="C46" s="622"/>
      <c r="D46" s="622"/>
      <c r="E46" s="621"/>
    </row>
    <row r="47" spans="3:5" ht="15">
      <c r="C47" s="622"/>
      <c r="D47" s="622"/>
      <c r="E47" s="621"/>
    </row>
    <row r="48" spans="3:5" ht="15">
      <c r="C48" s="622"/>
      <c r="D48" s="622"/>
      <c r="E48" s="621"/>
    </row>
    <row r="49" spans="3:5" ht="15">
      <c r="C49" s="622"/>
      <c r="D49" s="622"/>
      <c r="E49" s="621"/>
    </row>
    <row r="50" spans="3:5" ht="15">
      <c r="C50" s="622"/>
      <c r="D50" s="622"/>
      <c r="E50" s="621"/>
    </row>
    <row r="51" spans="3:5" ht="15">
      <c r="C51" s="622"/>
      <c r="D51" s="622"/>
      <c r="E51" s="621"/>
    </row>
    <row r="52" spans="3:5" ht="15">
      <c r="C52" s="622"/>
      <c r="D52" s="622"/>
      <c r="E52" s="621"/>
    </row>
    <row r="53" spans="3:5" ht="15">
      <c r="C53" s="622"/>
      <c r="D53" s="622"/>
      <c r="E53" s="621"/>
    </row>
    <row r="54" spans="3:5" ht="15">
      <c r="C54" s="622"/>
      <c r="D54" s="622"/>
      <c r="E54" s="621"/>
    </row>
    <row r="55" spans="3:5" ht="15">
      <c r="C55" s="622"/>
      <c r="D55" s="622"/>
      <c r="E55" s="621"/>
    </row>
    <row r="56" spans="3:5" ht="15">
      <c r="C56" s="622"/>
      <c r="D56" s="622"/>
      <c r="E56" s="621"/>
    </row>
    <row r="57" spans="3:5" ht="15">
      <c r="C57" s="622"/>
      <c r="D57" s="622"/>
      <c r="E57" s="621"/>
    </row>
    <row r="58" spans="3:5" ht="15">
      <c r="C58" s="622"/>
      <c r="D58" s="622"/>
      <c r="E58" s="621"/>
    </row>
    <row r="59" spans="3:5" ht="15">
      <c r="C59" s="622"/>
      <c r="D59" s="622"/>
      <c r="E59" s="621"/>
    </row>
    <row r="60" spans="3:5" ht="15">
      <c r="C60" s="622"/>
      <c r="D60" s="622"/>
      <c r="E60" s="621"/>
    </row>
    <row r="61" spans="3:5" ht="15">
      <c r="C61" s="622"/>
      <c r="D61" s="622"/>
      <c r="E61" s="621"/>
    </row>
    <row r="62" spans="3:5" ht="15">
      <c r="C62" s="622"/>
      <c r="D62" s="622"/>
      <c r="E62" s="621"/>
    </row>
    <row r="63" spans="3:5" ht="15">
      <c r="C63" s="622"/>
      <c r="D63" s="622"/>
      <c r="E63" s="621"/>
    </row>
    <row r="64" spans="3:5" ht="15">
      <c r="C64" s="622"/>
      <c r="D64" s="622"/>
      <c r="E64" s="621"/>
    </row>
    <row r="65" spans="3:5" ht="15">
      <c r="C65" s="622"/>
      <c r="D65" s="622"/>
      <c r="E65" s="621"/>
    </row>
    <row r="66" spans="3:5" ht="15">
      <c r="C66" s="622"/>
      <c r="D66" s="622"/>
      <c r="E66" s="621"/>
    </row>
    <row r="67" spans="3:5" ht="15">
      <c r="C67" s="622"/>
      <c r="D67" s="622"/>
      <c r="E67" s="621"/>
    </row>
    <row r="68" spans="3:5" ht="15">
      <c r="C68" s="622"/>
      <c r="D68" s="622"/>
      <c r="E68" s="621"/>
    </row>
    <row r="69" spans="3:5" ht="15">
      <c r="C69" s="622"/>
      <c r="D69" s="622"/>
      <c r="E69" s="621"/>
    </row>
    <row r="70" spans="3:5" ht="15">
      <c r="C70" s="622"/>
      <c r="D70" s="622"/>
      <c r="E70" s="621"/>
    </row>
    <row r="71" spans="3:5" ht="15">
      <c r="C71" s="622"/>
      <c r="D71" s="622"/>
      <c r="E71" s="621"/>
    </row>
    <row r="72" spans="3:5" ht="15">
      <c r="C72" s="622"/>
      <c r="D72" s="622"/>
      <c r="E72" s="621"/>
    </row>
    <row r="73" spans="3:5" ht="15">
      <c r="C73" s="622"/>
      <c r="D73" s="622"/>
      <c r="E73" s="621"/>
    </row>
    <row r="74" spans="3:5" ht="15">
      <c r="C74" s="622"/>
      <c r="D74" s="622"/>
      <c r="E74" s="621"/>
    </row>
    <row r="75" spans="3:5" ht="15">
      <c r="C75" s="622"/>
      <c r="D75" s="622"/>
      <c r="E75" s="621"/>
    </row>
    <row r="76" spans="3:5" ht="15">
      <c r="C76" s="622"/>
      <c r="D76" s="622"/>
      <c r="E76" s="621"/>
    </row>
    <row r="77" spans="3:5" ht="15">
      <c r="C77" s="622"/>
      <c r="D77" s="622"/>
      <c r="E77" s="621"/>
    </row>
    <row r="78" spans="3:5" ht="15">
      <c r="C78" s="622"/>
      <c r="D78" s="622"/>
      <c r="E78" s="621"/>
    </row>
    <row r="79" spans="3:5" ht="15">
      <c r="C79" s="622"/>
      <c r="D79" s="622"/>
      <c r="E79" s="621"/>
    </row>
    <row r="80" spans="3:5" ht="15">
      <c r="C80" s="622"/>
      <c r="D80" s="622"/>
      <c r="E80" s="621"/>
    </row>
    <row r="81" spans="3:5" ht="15">
      <c r="C81" s="622"/>
      <c r="D81" s="622"/>
      <c r="E81" s="621"/>
    </row>
    <row r="82" spans="3:5" ht="15">
      <c r="C82" s="622"/>
      <c r="D82" s="622"/>
      <c r="E82" s="621"/>
    </row>
    <row r="83" spans="3:5" ht="15">
      <c r="C83" s="622"/>
      <c r="D83" s="622"/>
      <c r="E83" s="621"/>
    </row>
    <row r="84" spans="3:5" ht="15">
      <c r="C84" s="622"/>
      <c r="D84" s="622"/>
      <c r="E84" s="621"/>
    </row>
    <row r="85" spans="3:5" ht="15">
      <c r="C85" s="622"/>
      <c r="D85" s="622"/>
      <c r="E85" s="621"/>
    </row>
    <row r="86" spans="3:5" ht="15">
      <c r="C86" s="622"/>
      <c r="D86" s="622"/>
      <c r="E86" s="621"/>
    </row>
    <row r="87" spans="3:5" ht="15">
      <c r="C87" s="622"/>
      <c r="D87" s="622"/>
      <c r="E87" s="621"/>
    </row>
    <row r="88" spans="3:5" ht="15">
      <c r="C88" s="622"/>
      <c r="D88" s="622"/>
      <c r="E88" s="621"/>
    </row>
    <row r="89" spans="3:5" ht="15">
      <c r="C89" s="622"/>
      <c r="D89" s="622"/>
      <c r="E89" s="621"/>
    </row>
    <row r="90" spans="3:5" ht="15">
      <c r="C90" s="622"/>
      <c r="D90" s="622"/>
      <c r="E90" s="621"/>
    </row>
    <row r="91" spans="3:5" ht="15">
      <c r="C91" s="622"/>
      <c r="D91" s="622"/>
      <c r="E91" s="621"/>
    </row>
    <row r="92" spans="3:5" ht="15">
      <c r="C92" s="622"/>
      <c r="D92" s="622"/>
      <c r="E92" s="621"/>
    </row>
    <row r="93" spans="3:5" ht="15">
      <c r="C93" s="622"/>
      <c r="D93" s="622"/>
      <c r="E93" s="621"/>
    </row>
    <row r="94" spans="3:5" ht="15">
      <c r="C94" s="622"/>
      <c r="D94" s="622"/>
      <c r="E94" s="621"/>
    </row>
    <row r="95" spans="3:5" ht="15">
      <c r="C95" s="622"/>
      <c r="D95" s="622"/>
      <c r="E95" s="621"/>
    </row>
    <row r="96" spans="3:5" ht="15">
      <c r="C96" s="622"/>
      <c r="D96" s="622"/>
      <c r="E96" s="621"/>
    </row>
    <row r="97" spans="3:5" ht="15">
      <c r="C97" s="622"/>
      <c r="D97" s="622"/>
      <c r="E97" s="621"/>
    </row>
    <row r="98" spans="3:5" ht="15">
      <c r="C98" s="622"/>
      <c r="D98" s="622"/>
      <c r="E98" s="621"/>
    </row>
    <row r="99" spans="3:5" ht="15">
      <c r="C99" s="622"/>
      <c r="D99" s="622"/>
      <c r="E99" s="621"/>
    </row>
    <row r="100" spans="3:5" ht="15">
      <c r="C100" s="622"/>
      <c r="D100" s="622"/>
      <c r="E100" s="621"/>
    </row>
    <row r="101" spans="3:5" ht="15">
      <c r="C101" s="622"/>
      <c r="D101" s="622"/>
      <c r="E101" s="621"/>
    </row>
    <row r="102" spans="3:5" ht="15">
      <c r="C102" s="622"/>
      <c r="D102" s="622"/>
      <c r="E102" s="621"/>
    </row>
    <row r="103" spans="3:5" ht="15">
      <c r="C103" s="622"/>
      <c r="D103" s="622"/>
      <c r="E103" s="621"/>
    </row>
    <row r="104" spans="3:5" ht="15">
      <c r="C104" s="622"/>
      <c r="D104" s="622"/>
      <c r="E104" s="621"/>
    </row>
    <row r="105" spans="3:5" ht="15">
      <c r="C105" s="622"/>
      <c r="D105" s="622"/>
      <c r="E105" s="621"/>
    </row>
    <row r="106" spans="3:5" ht="15">
      <c r="C106" s="622"/>
      <c r="D106" s="622"/>
      <c r="E106" s="621"/>
    </row>
    <row r="107" spans="3:5" ht="15">
      <c r="C107" s="622"/>
      <c r="D107" s="622"/>
      <c r="E107" s="621"/>
    </row>
    <row r="108" spans="3:5" ht="15">
      <c r="C108" s="622"/>
      <c r="D108" s="622"/>
      <c r="E108" s="621"/>
    </row>
    <row r="109" spans="3:5" ht="15">
      <c r="C109" s="622"/>
      <c r="D109" s="622"/>
      <c r="E109" s="621"/>
    </row>
    <row r="110" spans="3:5" ht="15">
      <c r="C110" s="622"/>
      <c r="D110" s="622"/>
      <c r="E110" s="621"/>
    </row>
    <row r="111" spans="3:5" ht="15">
      <c r="C111" s="622"/>
      <c r="D111" s="622"/>
      <c r="E111" s="621"/>
    </row>
    <row r="112" spans="3:5" ht="15">
      <c r="C112" s="622"/>
      <c r="D112" s="622"/>
      <c r="E112" s="621"/>
    </row>
    <row r="113" spans="3:5" ht="15">
      <c r="C113" s="622"/>
      <c r="D113" s="622"/>
      <c r="E113" s="621"/>
    </row>
    <row r="114" spans="3:5" ht="15">
      <c r="C114" s="622"/>
      <c r="D114" s="622"/>
      <c r="E114" s="621"/>
    </row>
    <row r="115" spans="3:5" ht="15">
      <c r="C115" s="622"/>
      <c r="D115" s="622"/>
      <c r="E115" s="621"/>
    </row>
    <row r="116" spans="3:5" ht="15">
      <c r="C116" s="622"/>
      <c r="D116" s="622"/>
      <c r="E116" s="621"/>
    </row>
    <row r="117" spans="3:5" ht="15">
      <c r="C117" s="622"/>
      <c r="D117" s="622"/>
      <c r="E117" s="621"/>
    </row>
    <row r="118" spans="3:5" ht="15">
      <c r="C118" s="622"/>
      <c r="D118" s="622"/>
      <c r="E118" s="621"/>
    </row>
    <row r="119" spans="3:5" ht="15">
      <c r="C119" s="622"/>
      <c r="D119" s="622"/>
      <c r="E119" s="621"/>
    </row>
    <row r="120" spans="3:5" ht="15">
      <c r="C120" s="622"/>
      <c r="D120" s="622"/>
      <c r="E120" s="621"/>
    </row>
    <row r="121" spans="3:5" ht="15">
      <c r="C121" s="622"/>
      <c r="D121" s="622"/>
      <c r="E121" s="621"/>
    </row>
    <row r="122" spans="3:5" ht="15">
      <c r="C122" s="622"/>
      <c r="D122" s="622"/>
      <c r="E122" s="621"/>
    </row>
    <row r="123" spans="3:5" ht="15">
      <c r="C123" s="622"/>
      <c r="D123" s="622"/>
      <c r="E123" s="621"/>
    </row>
    <row r="124" spans="3:5" ht="15">
      <c r="C124" s="622"/>
      <c r="D124" s="622"/>
      <c r="E124" s="621"/>
    </row>
    <row r="125" spans="3:5" ht="15">
      <c r="C125" s="622"/>
      <c r="D125" s="622"/>
      <c r="E125" s="621"/>
    </row>
    <row r="126" spans="3:5" ht="15">
      <c r="C126" s="622"/>
      <c r="D126" s="622"/>
      <c r="E126" s="621"/>
    </row>
    <row r="127" spans="3:5" ht="15">
      <c r="C127" s="622"/>
      <c r="D127" s="622"/>
      <c r="E127" s="621"/>
    </row>
    <row r="128" spans="3:5" ht="15">
      <c r="C128" s="622"/>
      <c r="D128" s="622"/>
      <c r="E128" s="621"/>
    </row>
    <row r="129" spans="3:5" ht="15">
      <c r="C129" s="622"/>
      <c r="D129" s="622"/>
      <c r="E129" s="621"/>
    </row>
    <row r="130" spans="3:5" ht="15">
      <c r="C130" s="622"/>
      <c r="D130" s="622"/>
      <c r="E130" s="621"/>
    </row>
    <row r="131" spans="3:5" ht="15">
      <c r="C131" s="622"/>
      <c r="D131" s="622"/>
      <c r="E131" s="621"/>
    </row>
    <row r="132" spans="3:5" ht="15">
      <c r="C132" s="622"/>
      <c r="D132" s="622"/>
      <c r="E132" s="621"/>
    </row>
    <row r="133" spans="3:5" ht="15">
      <c r="C133" s="622"/>
      <c r="D133" s="622"/>
      <c r="E133" s="621"/>
    </row>
    <row r="134" spans="3:5" ht="15">
      <c r="C134" s="622"/>
      <c r="D134" s="622"/>
      <c r="E134" s="621"/>
    </row>
    <row r="135" spans="3:5" ht="15">
      <c r="C135" s="622"/>
      <c r="D135" s="622"/>
      <c r="E135" s="621"/>
    </row>
    <row r="136" spans="3:5" ht="15">
      <c r="C136" s="622"/>
      <c r="D136" s="622"/>
      <c r="E136" s="621"/>
    </row>
    <row r="137" spans="3:5" ht="15">
      <c r="C137" s="622"/>
      <c r="D137" s="622"/>
      <c r="E137" s="621"/>
    </row>
    <row r="138" spans="3:5" ht="15">
      <c r="C138" s="622"/>
      <c r="D138" s="622"/>
      <c r="E138" s="621"/>
    </row>
    <row r="139" spans="3:5" ht="15">
      <c r="C139" s="622"/>
      <c r="D139" s="622"/>
      <c r="E139" s="621"/>
    </row>
    <row r="140" spans="3:5" ht="15">
      <c r="C140" s="622"/>
      <c r="D140" s="622"/>
      <c r="E140" s="621"/>
    </row>
    <row r="141" spans="3:5" ht="15">
      <c r="C141" s="622"/>
      <c r="D141" s="622"/>
      <c r="E141" s="621"/>
    </row>
    <row r="142" spans="3:5" ht="15">
      <c r="C142" s="622"/>
      <c r="D142" s="622"/>
      <c r="E142" s="621"/>
    </row>
    <row r="143" spans="3:5" ht="15">
      <c r="C143" s="622"/>
      <c r="D143" s="622"/>
      <c r="E143" s="621"/>
    </row>
    <row r="144" spans="3:5" ht="15">
      <c r="C144" s="622"/>
      <c r="D144" s="622"/>
      <c r="E144" s="621"/>
    </row>
    <row r="145" spans="3:5" ht="15">
      <c r="C145" s="622"/>
      <c r="D145" s="622"/>
      <c r="E145" s="621"/>
    </row>
    <row r="146" spans="3:5" ht="15">
      <c r="C146" s="622"/>
      <c r="D146" s="622"/>
      <c r="E146" s="621"/>
    </row>
    <row r="147" spans="3:5" ht="15">
      <c r="C147" s="622"/>
      <c r="D147" s="622"/>
      <c r="E147" s="621"/>
    </row>
    <row r="148" spans="3:5" ht="15">
      <c r="C148" s="622"/>
      <c r="D148" s="622"/>
      <c r="E148" s="621"/>
    </row>
    <row r="149" spans="3:5" ht="15">
      <c r="C149" s="622"/>
      <c r="D149" s="622"/>
      <c r="E149" s="621"/>
    </row>
    <row r="150" spans="3:5" ht="15">
      <c r="C150" s="622"/>
      <c r="D150" s="622"/>
      <c r="E150" s="621"/>
    </row>
    <row r="151" spans="3:5" ht="15">
      <c r="C151" s="622"/>
      <c r="D151" s="622"/>
      <c r="E151" s="621"/>
    </row>
    <row r="152" spans="3:5" ht="15">
      <c r="C152" s="622"/>
      <c r="D152" s="622"/>
      <c r="E152" s="621"/>
    </row>
    <row r="153" spans="3:5" ht="15">
      <c r="C153" s="622"/>
      <c r="D153" s="622"/>
      <c r="E153" s="621"/>
    </row>
    <row r="154" spans="3:5" ht="15">
      <c r="C154" s="622"/>
      <c r="D154" s="622"/>
      <c r="E154" s="621"/>
    </row>
    <row r="155" spans="3:5" ht="15">
      <c r="C155" s="622"/>
      <c r="D155" s="622"/>
      <c r="E155" s="621"/>
    </row>
    <row r="156" spans="3:5" ht="15">
      <c r="C156" s="622"/>
      <c r="D156" s="622"/>
      <c r="E156" s="621"/>
    </row>
    <row r="157" spans="3:5" ht="15">
      <c r="C157" s="622"/>
      <c r="D157" s="622"/>
      <c r="E157" s="621"/>
    </row>
    <row r="158" spans="3:5" ht="15">
      <c r="C158" s="622"/>
      <c r="D158" s="622"/>
      <c r="E158" s="621"/>
    </row>
    <row r="159" spans="3:5" ht="15">
      <c r="C159" s="622"/>
      <c r="D159" s="622"/>
      <c r="E159" s="621"/>
    </row>
    <row r="160" spans="3:5" ht="15">
      <c r="C160" s="622"/>
      <c r="D160" s="622"/>
      <c r="E160" s="621"/>
    </row>
    <row r="161" spans="3:5" ht="15">
      <c r="C161" s="622"/>
      <c r="D161" s="622"/>
      <c r="E161" s="621"/>
    </row>
    <row r="162" spans="3:5" ht="15">
      <c r="C162" s="622"/>
      <c r="D162" s="622"/>
      <c r="E162" s="621"/>
    </row>
    <row r="163" spans="3:5" ht="15">
      <c r="C163" s="622"/>
      <c r="D163" s="622"/>
      <c r="E163" s="621"/>
    </row>
    <row r="164" spans="3:5" ht="15">
      <c r="C164" s="622"/>
      <c r="D164" s="622"/>
      <c r="E164" s="621"/>
    </row>
    <row r="165" spans="3:5" ht="15">
      <c r="C165" s="622"/>
      <c r="D165" s="622"/>
      <c r="E165" s="621"/>
    </row>
    <row r="166" spans="3:5" ht="15">
      <c r="C166" s="622"/>
      <c r="D166" s="622"/>
      <c r="E166" s="621"/>
    </row>
    <row r="167" spans="3:5" ht="15">
      <c r="C167" s="622"/>
      <c r="D167" s="622"/>
      <c r="E167" s="621"/>
    </row>
    <row r="168" spans="3:5" ht="15">
      <c r="C168" s="622"/>
      <c r="D168" s="622"/>
      <c r="E168" s="621"/>
    </row>
    <row r="169" spans="3:5" ht="15">
      <c r="C169" s="622"/>
      <c r="D169" s="622"/>
      <c r="E169" s="621"/>
    </row>
    <row r="170" spans="3:5" ht="15">
      <c r="C170" s="622"/>
      <c r="D170" s="622"/>
      <c r="E170" s="621"/>
    </row>
    <row r="171" spans="3:5" ht="15">
      <c r="C171" s="622"/>
      <c r="D171" s="622"/>
      <c r="E171" s="621"/>
    </row>
    <row r="172" spans="3:5" ht="15">
      <c r="C172" s="622"/>
      <c r="D172" s="622"/>
      <c r="E172" s="621"/>
    </row>
    <row r="173" spans="3:5" ht="15">
      <c r="C173" s="622"/>
      <c r="D173" s="622"/>
      <c r="E173" s="621"/>
    </row>
    <row r="174" spans="3:5" ht="15">
      <c r="C174" s="622"/>
      <c r="D174" s="622"/>
      <c r="E174" s="621"/>
    </row>
    <row r="175" spans="3:5" ht="15">
      <c r="C175" s="622"/>
      <c r="D175" s="622"/>
      <c r="E175" s="621"/>
    </row>
    <row r="176" spans="3:5" ht="15">
      <c r="C176" s="622"/>
      <c r="D176" s="622"/>
      <c r="E176" s="621"/>
    </row>
    <row r="177" spans="3:5" ht="15">
      <c r="C177" s="622"/>
      <c r="D177" s="622"/>
      <c r="E177" s="621"/>
    </row>
    <row r="178" spans="3:5" ht="15">
      <c r="C178" s="622"/>
      <c r="D178" s="622"/>
      <c r="E178" s="621"/>
    </row>
    <row r="179" spans="3:5" ht="15">
      <c r="C179" s="622"/>
      <c r="D179" s="622"/>
      <c r="E179" s="621"/>
    </row>
    <row r="180" spans="3:5" ht="15">
      <c r="C180" s="622"/>
      <c r="D180" s="622"/>
      <c r="E180" s="621"/>
    </row>
    <row r="181" spans="3:5" ht="15">
      <c r="C181" s="622"/>
      <c r="D181" s="622"/>
      <c r="E181" s="621"/>
    </row>
    <row r="182" spans="3:5" ht="15">
      <c r="C182" s="622"/>
      <c r="D182" s="622"/>
      <c r="E182" s="621"/>
    </row>
    <row r="183" spans="3:5" ht="15">
      <c r="C183" s="622"/>
      <c r="D183" s="622"/>
      <c r="E183" s="621"/>
    </row>
    <row r="184" spans="3:5" ht="15">
      <c r="C184" s="622"/>
      <c r="D184" s="622"/>
      <c r="E184" s="621"/>
    </row>
    <row r="185" spans="3:5" ht="15">
      <c r="C185" s="622"/>
      <c r="D185" s="622"/>
      <c r="E185" s="621"/>
    </row>
    <row r="186" spans="3:5" ht="15">
      <c r="C186" s="622"/>
      <c r="D186" s="622"/>
      <c r="E186" s="621"/>
    </row>
    <row r="187" spans="3:5" ht="15">
      <c r="C187" s="622"/>
      <c r="D187" s="622"/>
      <c r="E187" s="621"/>
    </row>
    <row r="188" spans="3:5" ht="15">
      <c r="C188" s="622"/>
      <c r="D188" s="622"/>
      <c r="E188" s="621"/>
    </row>
    <row r="189" spans="3:5" ht="15">
      <c r="C189" s="622"/>
      <c r="D189" s="622"/>
      <c r="E189" s="621"/>
    </row>
    <row r="190" spans="3:5" ht="15">
      <c r="C190" s="622"/>
      <c r="D190" s="622"/>
      <c r="E190" s="621"/>
    </row>
    <row r="191" spans="3:5" ht="15">
      <c r="C191" s="622"/>
      <c r="D191" s="622"/>
      <c r="E191" s="621"/>
    </row>
    <row r="192" spans="3:5" ht="15">
      <c r="C192" s="622"/>
      <c r="D192" s="622"/>
      <c r="E192" s="621"/>
    </row>
    <row r="193" spans="3:5" ht="15">
      <c r="C193" s="622"/>
      <c r="D193" s="622"/>
      <c r="E193" s="621"/>
    </row>
    <row r="194" spans="3:5" ht="15">
      <c r="C194" s="622"/>
      <c r="D194" s="622"/>
      <c r="E194" s="621"/>
    </row>
    <row r="195" spans="3:5" ht="15">
      <c r="C195" s="622"/>
      <c r="D195" s="622"/>
      <c r="E195" s="621"/>
    </row>
    <row r="196" spans="3:5" ht="15">
      <c r="C196" s="622"/>
      <c r="D196" s="622"/>
      <c r="E196" s="621"/>
    </row>
    <row r="197" spans="3:5" ht="15">
      <c r="C197" s="622"/>
      <c r="D197" s="622"/>
      <c r="E197" s="621"/>
    </row>
    <row r="198" spans="3:5" ht="15">
      <c r="C198" s="622"/>
      <c r="D198" s="622"/>
      <c r="E198" s="621"/>
    </row>
    <row r="199" spans="3:5" ht="15">
      <c r="C199" s="622"/>
      <c r="D199" s="622"/>
      <c r="E199" s="621"/>
    </row>
    <row r="200" spans="3:5" ht="15">
      <c r="C200" s="622"/>
      <c r="D200" s="622"/>
      <c r="E200" s="621"/>
    </row>
    <row r="201" spans="3:5" ht="15">
      <c r="C201" s="622"/>
      <c r="D201" s="622"/>
      <c r="E201" s="621"/>
    </row>
    <row r="202" spans="3:5" ht="15">
      <c r="C202" s="622"/>
      <c r="D202" s="622"/>
      <c r="E202" s="621"/>
    </row>
    <row r="203" spans="3:5" ht="15">
      <c r="C203" s="622"/>
      <c r="D203" s="622"/>
      <c r="E203" s="621"/>
    </row>
    <row r="204" spans="3:5" ht="15">
      <c r="C204" s="622"/>
      <c r="D204" s="622"/>
      <c r="E204" s="621"/>
    </row>
    <row r="205" spans="3:5" ht="15">
      <c r="C205" s="622"/>
      <c r="D205" s="622"/>
      <c r="E205" s="621"/>
    </row>
    <row r="206" spans="3:5" ht="15">
      <c r="C206" s="622"/>
      <c r="D206" s="622"/>
      <c r="E206" s="621"/>
    </row>
    <row r="207" spans="3:5" ht="15">
      <c r="C207" s="622"/>
      <c r="D207" s="622"/>
      <c r="E207" s="621"/>
    </row>
    <row r="208" spans="3:5" ht="15">
      <c r="C208" s="622"/>
      <c r="D208" s="622"/>
      <c r="E208" s="621"/>
    </row>
    <row r="209" spans="3:5" ht="15">
      <c r="C209" s="622"/>
      <c r="D209" s="622"/>
      <c r="E209" s="621"/>
    </row>
    <row r="210" spans="3:5" ht="15">
      <c r="C210" s="622"/>
      <c r="D210" s="622"/>
      <c r="E210" s="621"/>
    </row>
    <row r="211" spans="3:5" ht="15">
      <c r="C211" s="622"/>
      <c r="D211" s="622"/>
      <c r="E211" s="621"/>
    </row>
    <row r="212" spans="3:5" ht="15">
      <c r="C212" s="622"/>
      <c r="D212" s="622"/>
      <c r="E212" s="621"/>
    </row>
    <row r="213" spans="3:5" ht="15">
      <c r="C213" s="622"/>
      <c r="D213" s="622"/>
      <c r="E213" s="621"/>
    </row>
    <row r="214" spans="3:5" ht="15">
      <c r="C214" s="622"/>
      <c r="D214" s="622"/>
      <c r="E214" s="621"/>
    </row>
    <row r="215" spans="3:5" ht="15">
      <c r="C215" s="622"/>
      <c r="D215" s="622"/>
      <c r="E215" s="621"/>
    </row>
    <row r="216" spans="3:5" ht="15">
      <c r="C216" s="622"/>
      <c r="D216" s="622"/>
      <c r="E216" s="621"/>
    </row>
    <row r="217" spans="3:5" ht="15">
      <c r="C217" s="622"/>
      <c r="D217" s="622"/>
      <c r="E217" s="621"/>
    </row>
    <row r="218" spans="3:5" ht="15">
      <c r="C218" s="622"/>
      <c r="D218" s="622"/>
      <c r="E218" s="621"/>
    </row>
    <row r="219" spans="3:5" ht="15">
      <c r="C219" s="622"/>
      <c r="D219" s="622"/>
      <c r="E219" s="621"/>
    </row>
    <row r="220" spans="3:5" ht="15">
      <c r="C220" s="622"/>
      <c r="D220" s="622"/>
      <c r="E220" s="621"/>
    </row>
    <row r="221" spans="3:5" ht="15">
      <c r="C221" s="622"/>
      <c r="D221" s="622"/>
      <c r="E221" s="621"/>
    </row>
    <row r="222" spans="3:5" ht="15">
      <c r="C222" s="622"/>
      <c r="D222" s="622"/>
      <c r="E222" s="621"/>
    </row>
    <row r="223" spans="3:5" ht="15">
      <c r="C223" s="622"/>
      <c r="D223" s="622"/>
      <c r="E223" s="621"/>
    </row>
    <row r="224" spans="3:5" ht="15">
      <c r="C224" s="622"/>
      <c r="D224" s="622"/>
      <c r="E224" s="621"/>
    </row>
    <row r="225" spans="3:5" ht="15">
      <c r="C225" s="622"/>
      <c r="D225" s="622"/>
      <c r="E225" s="621"/>
    </row>
    <row r="226" spans="3:5" ht="15">
      <c r="C226" s="622"/>
      <c r="D226" s="622"/>
      <c r="E226" s="621"/>
    </row>
    <row r="227" spans="3:5" ht="15">
      <c r="C227" s="622"/>
      <c r="D227" s="622"/>
      <c r="E227" s="621"/>
    </row>
    <row r="228" spans="3:5" ht="15">
      <c r="C228" s="622"/>
      <c r="D228" s="622"/>
      <c r="E228" s="621"/>
    </row>
    <row r="229" spans="3:5" ht="15">
      <c r="C229" s="622"/>
      <c r="D229" s="622"/>
      <c r="E229" s="621"/>
    </row>
    <row r="230" spans="3:5" ht="15">
      <c r="C230" s="622"/>
      <c r="D230" s="622"/>
      <c r="E230" s="621"/>
    </row>
    <row r="231" spans="3:5" ht="15">
      <c r="C231" s="622"/>
      <c r="D231" s="622"/>
      <c r="E231" s="621"/>
    </row>
    <row r="232" spans="3:5" ht="15">
      <c r="C232" s="622"/>
      <c r="D232" s="622"/>
      <c r="E232" s="621"/>
    </row>
    <row r="233" spans="3:5" ht="15">
      <c r="C233" s="622"/>
      <c r="D233" s="622"/>
      <c r="E233" s="621"/>
    </row>
    <row r="234" spans="3:5" ht="15">
      <c r="C234" s="622"/>
      <c r="D234" s="622"/>
      <c r="E234" s="621"/>
    </row>
    <row r="235" spans="3:5" ht="15">
      <c r="C235" s="622"/>
      <c r="D235" s="622"/>
      <c r="E235" s="621"/>
    </row>
    <row r="236" spans="3:5" ht="15">
      <c r="C236" s="622"/>
      <c r="D236" s="622"/>
      <c r="E236" s="621"/>
    </row>
    <row r="237" spans="3:5" ht="15">
      <c r="C237" s="622"/>
      <c r="D237" s="622"/>
      <c r="E237" s="621"/>
    </row>
    <row r="238" spans="3:5" ht="15">
      <c r="C238" s="622"/>
      <c r="D238" s="622"/>
      <c r="E238" s="621"/>
    </row>
    <row r="239" spans="3:5" ht="15">
      <c r="C239" s="622"/>
      <c r="D239" s="622"/>
      <c r="E239" s="621"/>
    </row>
    <row r="240" spans="3:5" ht="15">
      <c r="C240" s="622"/>
      <c r="D240" s="622"/>
      <c r="E240" s="621"/>
    </row>
    <row r="241" spans="3:5" ht="15">
      <c r="C241" s="622"/>
      <c r="D241" s="622"/>
      <c r="E241" s="621"/>
    </row>
    <row r="242" spans="3:5" ht="15">
      <c r="C242" s="622"/>
      <c r="D242" s="622"/>
      <c r="E242" s="621"/>
    </row>
    <row r="243" spans="3:5" ht="15">
      <c r="C243" s="622"/>
      <c r="D243" s="622"/>
      <c r="E243" s="621"/>
    </row>
    <row r="244" spans="3:5" ht="15">
      <c r="C244" s="622"/>
      <c r="D244" s="622"/>
      <c r="E244" s="621"/>
    </row>
    <row r="245" spans="3:5" ht="15">
      <c r="C245" s="622"/>
      <c r="D245" s="622"/>
      <c r="E245" s="621"/>
    </row>
    <row r="246" spans="3:5" ht="15">
      <c r="C246" s="622"/>
      <c r="D246" s="622"/>
      <c r="E246" s="621"/>
    </row>
    <row r="247" spans="3:5" ht="15">
      <c r="C247" s="622"/>
      <c r="D247" s="622"/>
      <c r="E247" s="621"/>
    </row>
    <row r="248" spans="3:5" ht="15">
      <c r="C248" s="622"/>
      <c r="D248" s="622"/>
      <c r="E248" s="621"/>
    </row>
    <row r="249" spans="3:5" ht="15">
      <c r="C249" s="622"/>
      <c r="D249" s="622"/>
      <c r="E249" s="621"/>
    </row>
    <row r="250" spans="3:5" ht="15">
      <c r="C250" s="622"/>
      <c r="D250" s="622"/>
      <c r="E250" s="621"/>
    </row>
    <row r="251" spans="3:5" ht="15">
      <c r="C251" s="622"/>
      <c r="D251" s="622"/>
      <c r="E251" s="621"/>
    </row>
    <row r="252" spans="3:5" ht="15">
      <c r="C252" s="622"/>
      <c r="D252" s="622"/>
      <c r="E252" s="621"/>
    </row>
    <row r="253" spans="3:5" ht="15">
      <c r="C253" s="622"/>
      <c r="D253" s="622"/>
      <c r="E253" s="621"/>
    </row>
    <row r="254" spans="3:5" ht="15">
      <c r="C254" s="622"/>
      <c r="D254" s="622"/>
      <c r="E254" s="621"/>
    </row>
    <row r="255" spans="3:5" ht="15">
      <c r="C255" s="622"/>
      <c r="D255" s="622"/>
      <c r="E255" s="621"/>
    </row>
    <row r="256" spans="3:5" ht="15">
      <c r="C256" s="622"/>
      <c r="D256" s="622"/>
      <c r="E256" s="621"/>
    </row>
    <row r="257" spans="3:5" ht="15">
      <c r="C257" s="622"/>
      <c r="D257" s="622"/>
      <c r="E257" s="621"/>
    </row>
    <row r="258" spans="3:5" ht="15">
      <c r="C258" s="622"/>
      <c r="D258" s="622"/>
      <c r="E258" s="621"/>
    </row>
    <row r="259" spans="3:5" ht="15">
      <c r="C259" s="622"/>
      <c r="D259" s="622"/>
      <c r="E259" s="621"/>
    </row>
    <row r="260" spans="3:5" ht="15">
      <c r="C260" s="622"/>
      <c r="D260" s="622"/>
      <c r="E260" s="621"/>
    </row>
    <row r="261" spans="3:5" ht="15">
      <c r="C261" s="622"/>
      <c r="D261" s="622"/>
      <c r="E261" s="621"/>
    </row>
    <row r="262" spans="3:5" ht="15">
      <c r="C262" s="622"/>
      <c r="D262" s="622"/>
      <c r="E262" s="621"/>
    </row>
    <row r="263" spans="3:5" ht="15">
      <c r="C263" s="622"/>
      <c r="D263" s="622"/>
      <c r="E263" s="621"/>
    </row>
    <row r="264" spans="3:5" ht="15">
      <c r="C264" s="622"/>
      <c r="D264" s="622"/>
      <c r="E264" s="621"/>
    </row>
    <row r="265" spans="3:5" ht="15">
      <c r="C265" s="622"/>
      <c r="D265" s="622"/>
      <c r="E265" s="621"/>
    </row>
    <row r="266" spans="3:5" ht="15">
      <c r="C266" s="622"/>
      <c r="D266" s="622"/>
      <c r="E266" s="621"/>
    </row>
    <row r="267" spans="3:5" ht="15">
      <c r="C267" s="622"/>
      <c r="D267" s="622"/>
      <c r="E267" s="621"/>
    </row>
    <row r="268" spans="3:5" ht="15">
      <c r="C268" s="622"/>
      <c r="D268" s="622"/>
      <c r="E268" s="621"/>
    </row>
    <row r="269" spans="3:5" ht="15">
      <c r="C269" s="622"/>
      <c r="D269" s="622"/>
      <c r="E269" s="621"/>
    </row>
    <row r="270" spans="3:5" ht="15">
      <c r="C270" s="622"/>
      <c r="D270" s="622"/>
      <c r="E270" s="621"/>
    </row>
    <row r="271" spans="3:5" ht="15">
      <c r="C271" s="622"/>
      <c r="D271" s="622"/>
      <c r="E271" s="621"/>
    </row>
    <row r="272" spans="3:5" ht="15">
      <c r="C272" s="622"/>
      <c r="D272" s="622"/>
      <c r="E272" s="621"/>
    </row>
    <row r="273" spans="3:5" ht="15">
      <c r="C273" s="622"/>
      <c r="D273" s="622"/>
      <c r="E273" s="621"/>
    </row>
    <row r="274" spans="3:5" ht="15">
      <c r="C274" s="622"/>
      <c r="D274" s="622"/>
      <c r="E274" s="621"/>
    </row>
    <row r="275" spans="3:5" ht="15">
      <c r="C275" s="622"/>
      <c r="D275" s="622"/>
      <c r="E275" s="621"/>
    </row>
    <row r="276" spans="3:5" ht="15">
      <c r="C276" s="622"/>
      <c r="D276" s="622"/>
      <c r="E276" s="621"/>
    </row>
    <row r="277" spans="3:5" ht="15">
      <c r="C277" s="622"/>
      <c r="D277" s="622"/>
      <c r="E277" s="621"/>
    </row>
    <row r="278" spans="3:5" ht="15">
      <c r="C278" s="622"/>
      <c r="D278" s="622"/>
      <c r="E278" s="621"/>
    </row>
    <row r="279" spans="3:5" ht="15">
      <c r="C279" s="622"/>
      <c r="D279" s="622"/>
      <c r="E279" s="621"/>
    </row>
    <row r="280" spans="3:5" ht="15">
      <c r="C280" s="622"/>
      <c r="D280" s="622"/>
      <c r="E280" s="621"/>
    </row>
    <row r="281" spans="3:5" ht="15">
      <c r="C281" s="622"/>
      <c r="D281" s="622"/>
      <c r="E281" s="621"/>
    </row>
    <row r="282" spans="3:5" ht="15">
      <c r="C282" s="622"/>
      <c r="D282" s="622"/>
      <c r="E282" s="621"/>
    </row>
    <row r="283" spans="3:5" ht="15">
      <c r="C283" s="622"/>
      <c r="D283" s="622"/>
      <c r="E283" s="621"/>
    </row>
    <row r="284" spans="3:5" ht="15">
      <c r="C284" s="622"/>
      <c r="D284" s="622"/>
      <c r="E284" s="621"/>
    </row>
    <row r="285" spans="3:5" ht="15">
      <c r="C285" s="622"/>
      <c r="D285" s="622"/>
      <c r="E285" s="621"/>
    </row>
    <row r="286" spans="3:5" ht="15">
      <c r="C286" s="622"/>
      <c r="D286" s="622"/>
      <c r="E286" s="621"/>
    </row>
    <row r="287" spans="3:5" ht="15">
      <c r="C287" s="622"/>
      <c r="D287" s="622"/>
      <c r="E287" s="621"/>
    </row>
    <row r="288" spans="3:5" ht="15">
      <c r="C288" s="622"/>
      <c r="D288" s="622"/>
      <c r="E288" s="621"/>
    </row>
    <row r="289" spans="3:5" ht="15">
      <c r="C289" s="622"/>
      <c r="D289" s="622"/>
      <c r="E289" s="621"/>
    </row>
    <row r="290" spans="3:5" ht="15">
      <c r="C290" s="622"/>
      <c r="D290" s="622"/>
      <c r="E290" s="621"/>
    </row>
    <row r="291" spans="3:5" ht="15">
      <c r="C291" s="622"/>
      <c r="D291" s="622"/>
      <c r="E291" s="621"/>
    </row>
    <row r="292" spans="3:5" ht="15">
      <c r="C292" s="622"/>
      <c r="D292" s="622"/>
      <c r="E292" s="621"/>
    </row>
    <row r="293" spans="3:5" ht="15">
      <c r="C293" s="622"/>
      <c r="D293" s="622"/>
      <c r="E293" s="621"/>
    </row>
    <row r="294" spans="3:5" ht="15">
      <c r="C294" s="622"/>
      <c r="D294" s="622"/>
      <c r="E294" s="621"/>
    </row>
    <row r="295" spans="3:5" ht="15">
      <c r="C295" s="622"/>
      <c r="D295" s="622"/>
      <c r="E295" s="621"/>
    </row>
    <row r="296" spans="3:5" ht="15">
      <c r="C296" s="622"/>
      <c r="D296" s="622"/>
      <c r="E296" s="621"/>
    </row>
    <row r="297" spans="3:5" ht="15">
      <c r="C297" s="622"/>
      <c r="D297" s="622"/>
      <c r="E297" s="621"/>
    </row>
    <row r="298" spans="3:5" ht="15">
      <c r="C298" s="622"/>
      <c r="D298" s="622"/>
      <c r="E298" s="621"/>
    </row>
    <row r="299" spans="3:5" ht="15">
      <c r="C299" s="622"/>
      <c r="D299" s="622"/>
      <c r="E299" s="621"/>
    </row>
    <row r="300" spans="3:5" ht="15">
      <c r="C300" s="622"/>
      <c r="D300" s="622"/>
      <c r="E300" s="621"/>
    </row>
    <row r="301" spans="3:5" ht="15">
      <c r="C301" s="622"/>
      <c r="D301" s="622"/>
      <c r="E301" s="621"/>
    </row>
    <row r="302" spans="3:5" ht="15">
      <c r="C302" s="622"/>
      <c r="D302" s="622"/>
      <c r="E302" s="621"/>
    </row>
    <row r="303" spans="3:5" ht="15">
      <c r="C303" s="622"/>
      <c r="D303" s="622"/>
      <c r="E303" s="621"/>
    </row>
    <row r="304" spans="3:5" ht="15">
      <c r="C304" s="622"/>
      <c r="D304" s="622"/>
      <c r="E304" s="621"/>
    </row>
    <row r="305" spans="3:5" ht="15">
      <c r="C305" s="622"/>
      <c r="D305" s="622"/>
      <c r="E305" s="621"/>
    </row>
    <row r="306" spans="3:5" ht="15">
      <c r="C306" s="622"/>
      <c r="D306" s="622"/>
      <c r="E306" s="621"/>
    </row>
    <row r="307" spans="3:5" ht="15">
      <c r="C307" s="622"/>
      <c r="D307" s="622"/>
      <c r="E307" s="621"/>
    </row>
    <row r="308" spans="3:5" ht="15">
      <c r="C308" s="622"/>
      <c r="D308" s="622"/>
      <c r="E308" s="621"/>
    </row>
    <row r="309" spans="3:5" ht="15">
      <c r="C309" s="622"/>
      <c r="D309" s="622"/>
      <c r="E309" s="621"/>
    </row>
    <row r="310" spans="3:5" ht="15">
      <c r="C310" s="622"/>
      <c r="D310" s="622"/>
      <c r="E310" s="621"/>
    </row>
    <row r="311" spans="3:5" ht="15">
      <c r="C311" s="622"/>
      <c r="D311" s="622"/>
      <c r="E311" s="621"/>
    </row>
    <row r="312" spans="3:5" ht="15">
      <c r="C312" s="622"/>
      <c r="D312" s="622"/>
      <c r="E312" s="621"/>
    </row>
    <row r="313" spans="3:5" ht="15">
      <c r="C313" s="622"/>
      <c r="D313" s="622"/>
      <c r="E313" s="621"/>
    </row>
    <row r="314" spans="3:5" ht="15">
      <c r="C314" s="622"/>
      <c r="D314" s="622"/>
      <c r="E314" s="621"/>
    </row>
    <row r="315" spans="3:5" ht="15">
      <c r="C315" s="622"/>
      <c r="D315" s="622"/>
      <c r="E315" s="621"/>
    </row>
    <row r="316" spans="3:5" ht="15">
      <c r="C316" s="622"/>
      <c r="D316" s="622"/>
      <c r="E316" s="621"/>
    </row>
    <row r="317" spans="3:5" ht="15">
      <c r="C317" s="622"/>
      <c r="D317" s="622"/>
      <c r="E317" s="621"/>
    </row>
    <row r="318" spans="3:5" ht="15">
      <c r="C318" s="622"/>
      <c r="D318" s="622"/>
      <c r="E318" s="621"/>
    </row>
    <row r="319" spans="3:5" ht="15">
      <c r="C319" s="622"/>
      <c r="D319" s="622"/>
      <c r="E319" s="621"/>
    </row>
    <row r="320" spans="3:5" ht="15">
      <c r="C320" s="622"/>
      <c r="D320" s="622"/>
      <c r="E320" s="621"/>
    </row>
    <row r="321" spans="3:5" ht="15">
      <c r="C321" s="622"/>
      <c r="D321" s="622"/>
      <c r="E321" s="621"/>
    </row>
    <row r="322" spans="3:5" ht="15">
      <c r="C322" s="622"/>
      <c r="D322" s="622"/>
      <c r="E322" s="621"/>
    </row>
    <row r="323" spans="3:5" ht="15">
      <c r="C323" s="622"/>
      <c r="D323" s="622"/>
      <c r="E323" s="621"/>
    </row>
    <row r="324" spans="3:5" ht="15">
      <c r="C324" s="622"/>
      <c r="D324" s="622"/>
      <c r="E324" s="621"/>
    </row>
    <row r="325" spans="3:5" ht="15">
      <c r="C325" s="622"/>
      <c r="D325" s="622"/>
      <c r="E325" s="621"/>
    </row>
    <row r="326" spans="3:5" ht="15">
      <c r="C326" s="622"/>
      <c r="D326" s="622"/>
      <c r="E326" s="621"/>
    </row>
    <row r="327" spans="3:5" ht="15">
      <c r="C327" s="622"/>
      <c r="D327" s="622"/>
      <c r="E327" s="621"/>
    </row>
    <row r="328" spans="3:5" ht="15">
      <c r="C328" s="622"/>
      <c r="D328" s="622"/>
      <c r="E328" s="621"/>
    </row>
    <row r="329" spans="3:5" ht="15">
      <c r="C329" s="622"/>
      <c r="D329" s="622"/>
      <c r="E329" s="621"/>
    </row>
    <row r="330" spans="3:5" ht="15">
      <c r="C330" s="622"/>
      <c r="D330" s="622"/>
      <c r="E330" s="621"/>
    </row>
    <row r="331" spans="3:5" ht="15">
      <c r="C331" s="622"/>
      <c r="D331" s="622"/>
      <c r="E331" s="621"/>
    </row>
    <row r="332" spans="3:5" ht="15">
      <c r="C332" s="622"/>
      <c r="D332" s="622"/>
      <c r="E332" s="621"/>
    </row>
    <row r="333" spans="3:5" ht="15">
      <c r="C333" s="622"/>
      <c r="D333" s="622"/>
      <c r="E333" s="621"/>
    </row>
    <row r="334" spans="3:5" ht="15">
      <c r="C334" s="622"/>
      <c r="D334" s="622"/>
      <c r="E334" s="621"/>
    </row>
    <row r="335" spans="3:5" ht="15">
      <c r="C335" s="622"/>
      <c r="D335" s="622"/>
      <c r="E335" s="621"/>
    </row>
    <row r="336" spans="3:5" ht="15">
      <c r="C336" s="622"/>
      <c r="D336" s="622"/>
      <c r="E336" s="621"/>
    </row>
    <row r="337" spans="3:5" ht="15">
      <c r="C337" s="622"/>
      <c r="D337" s="622"/>
      <c r="E337" s="621"/>
    </row>
    <row r="338" spans="3:5" ht="15">
      <c r="C338" s="622"/>
      <c r="D338" s="622"/>
      <c r="E338" s="621"/>
    </row>
    <row r="339" spans="3:5" ht="15">
      <c r="C339" s="622"/>
      <c r="D339" s="622"/>
      <c r="E339" s="621"/>
    </row>
    <row r="340" spans="3:5" ht="15">
      <c r="C340" s="622"/>
      <c r="D340" s="622"/>
      <c r="E340" s="621"/>
    </row>
    <row r="341" spans="3:5" ht="15">
      <c r="C341" s="622"/>
      <c r="D341" s="622"/>
      <c r="E341" s="621"/>
    </row>
    <row r="342" spans="3:5" ht="15">
      <c r="C342" s="622"/>
      <c r="D342" s="622"/>
      <c r="E342" s="621"/>
    </row>
    <row r="343" spans="3:5" ht="15">
      <c r="C343" s="622"/>
      <c r="D343" s="622"/>
      <c r="E343" s="621"/>
    </row>
    <row r="344" spans="3:5" ht="15">
      <c r="C344" s="622"/>
      <c r="D344" s="622"/>
      <c r="E344" s="621"/>
    </row>
    <row r="345" spans="3:5" ht="15">
      <c r="C345" s="622"/>
      <c r="D345" s="622"/>
      <c r="E345" s="621"/>
    </row>
    <row r="346" spans="3:5" ht="15">
      <c r="C346" s="622"/>
      <c r="D346" s="622"/>
      <c r="E346" s="621"/>
    </row>
    <row r="347" spans="3:5" ht="15">
      <c r="C347" s="622"/>
      <c r="D347" s="622"/>
      <c r="E347" s="621"/>
    </row>
    <row r="348" spans="3:5" ht="15">
      <c r="C348" s="622"/>
      <c r="D348" s="622"/>
      <c r="E348" s="621"/>
    </row>
    <row r="349" spans="3:5" ht="15">
      <c r="C349" s="622"/>
      <c r="D349" s="622"/>
      <c r="E349" s="621"/>
    </row>
    <row r="350" spans="3:5" ht="15">
      <c r="C350" s="622"/>
      <c r="D350" s="622"/>
      <c r="E350" s="621"/>
    </row>
    <row r="351" spans="3:5" ht="15">
      <c r="C351" s="622"/>
      <c r="D351" s="622"/>
      <c r="E351" s="621"/>
    </row>
    <row r="352" spans="3:5" ht="15">
      <c r="C352" s="622"/>
      <c r="D352" s="622"/>
      <c r="E352" s="621"/>
    </row>
    <row r="353" spans="3:5" ht="15">
      <c r="C353" s="622"/>
      <c r="D353" s="622"/>
      <c r="E353" s="621"/>
    </row>
    <row r="354" spans="3:5" ht="15">
      <c r="C354" s="622"/>
      <c r="D354" s="622"/>
      <c r="E354" s="621"/>
    </row>
    <row r="355" spans="3:5" ht="15">
      <c r="C355" s="622"/>
      <c r="D355" s="622"/>
      <c r="E355" s="621"/>
    </row>
    <row r="356" spans="3:5" ht="15">
      <c r="C356" s="622"/>
      <c r="D356" s="622"/>
      <c r="E356" s="621"/>
    </row>
    <row r="357" spans="3:5" ht="15">
      <c r="C357" s="622"/>
      <c r="D357" s="622"/>
      <c r="E357" s="621"/>
    </row>
    <row r="358" spans="3:5" ht="15">
      <c r="C358" s="622"/>
      <c r="D358" s="622"/>
      <c r="E358" s="621"/>
    </row>
    <row r="359" spans="3:5" ht="15">
      <c r="C359" s="622"/>
      <c r="D359" s="622"/>
      <c r="E359" s="621"/>
    </row>
    <row r="360" spans="3:5" ht="15">
      <c r="C360" s="622"/>
      <c r="D360" s="622"/>
      <c r="E360" s="621"/>
    </row>
    <row r="361" spans="3:5" ht="15">
      <c r="C361" s="622"/>
      <c r="D361" s="622"/>
      <c r="E361" s="621"/>
    </row>
    <row r="362" spans="3:5" ht="15">
      <c r="C362" s="622"/>
      <c r="D362" s="622"/>
      <c r="E362" s="621"/>
    </row>
    <row r="363" spans="3:5" ht="15">
      <c r="C363" s="622"/>
      <c r="D363" s="622"/>
      <c r="E363" s="621"/>
    </row>
    <row r="364" spans="3:5" ht="15">
      <c r="C364" s="622"/>
      <c r="D364" s="622"/>
      <c r="E364" s="621"/>
    </row>
    <row r="365" spans="3:5" ht="15">
      <c r="C365" s="622"/>
      <c r="D365" s="622"/>
      <c r="E365" s="621"/>
    </row>
    <row r="366" spans="3:5" ht="15">
      <c r="C366" s="622"/>
      <c r="D366" s="622"/>
      <c r="E366" s="621"/>
    </row>
    <row r="367" spans="3:5" ht="15">
      <c r="C367" s="622"/>
      <c r="D367" s="622"/>
      <c r="E367" s="621"/>
    </row>
    <row r="368" spans="3:5" ht="15">
      <c r="C368" s="622"/>
      <c r="D368" s="622"/>
      <c r="E368" s="621"/>
    </row>
    <row r="369" spans="3:5" ht="15">
      <c r="C369" s="622"/>
      <c r="D369" s="622"/>
      <c r="E369" s="621"/>
    </row>
    <row r="370" spans="3:5" ht="15">
      <c r="C370" s="622"/>
      <c r="D370" s="622"/>
      <c r="E370" s="621"/>
    </row>
    <row r="371" spans="3:5" ht="15">
      <c r="C371" s="622"/>
      <c r="D371" s="622"/>
      <c r="E371" s="621"/>
    </row>
    <row r="372" spans="3:5" ht="15">
      <c r="C372" s="622"/>
      <c r="D372" s="622"/>
      <c r="E372" s="621"/>
    </row>
    <row r="373" spans="3:5" ht="15">
      <c r="C373" s="622"/>
      <c r="D373" s="622"/>
      <c r="E373" s="621"/>
    </row>
    <row r="374" spans="3:5" ht="15">
      <c r="C374" s="622"/>
      <c r="D374" s="622"/>
      <c r="E374" s="621"/>
    </row>
    <row r="375" spans="3:5" ht="15">
      <c r="C375" s="622"/>
      <c r="D375" s="622"/>
      <c r="E375" s="621"/>
    </row>
    <row r="376" spans="3:5" ht="15">
      <c r="C376" s="622"/>
      <c r="D376" s="622"/>
      <c r="E376" s="621"/>
    </row>
    <row r="377" spans="3:5" ht="15">
      <c r="C377" s="622"/>
      <c r="D377" s="622"/>
      <c r="E377" s="621"/>
    </row>
    <row r="378" spans="3:5" ht="15">
      <c r="C378" s="622"/>
      <c r="D378" s="622"/>
      <c r="E378" s="621"/>
    </row>
    <row r="379" spans="3:5" ht="15">
      <c r="C379" s="622"/>
      <c r="D379" s="622"/>
      <c r="E379" s="621"/>
    </row>
    <row r="380" spans="3:5" ht="15">
      <c r="C380" s="622"/>
      <c r="D380" s="622"/>
      <c r="E380" s="621"/>
    </row>
    <row r="381" spans="3:5" ht="15">
      <c r="C381" s="622"/>
      <c r="D381" s="622"/>
      <c r="E381" s="621"/>
    </row>
    <row r="382" spans="3:5" ht="15">
      <c r="C382" s="622"/>
      <c r="D382" s="622"/>
      <c r="E382" s="621"/>
    </row>
    <row r="383" spans="3:5" ht="15">
      <c r="C383" s="622"/>
      <c r="D383" s="622"/>
      <c r="E383" s="621"/>
    </row>
    <row r="384" spans="3:5" ht="15">
      <c r="C384" s="622"/>
      <c r="D384" s="622"/>
      <c r="E384" s="621"/>
    </row>
    <row r="385" spans="3:5" ht="15">
      <c r="C385" s="622"/>
      <c r="D385" s="622"/>
      <c r="E385" s="621"/>
    </row>
    <row r="386" spans="3:5" ht="15">
      <c r="C386" s="622"/>
      <c r="D386" s="622"/>
      <c r="E386" s="621"/>
    </row>
    <row r="387" spans="3:5" ht="15">
      <c r="C387" s="622"/>
      <c r="D387" s="622"/>
      <c r="E387" s="621"/>
    </row>
    <row r="388" spans="3:5" ht="15">
      <c r="C388" s="622"/>
      <c r="D388" s="622"/>
      <c r="E388" s="621"/>
    </row>
    <row r="389" spans="3:5" ht="15">
      <c r="C389" s="622"/>
      <c r="D389" s="622"/>
      <c r="E389" s="621"/>
    </row>
    <row r="390" spans="3:5" ht="15">
      <c r="C390" s="622"/>
      <c r="D390" s="622"/>
      <c r="E390" s="621"/>
    </row>
    <row r="391" spans="3:5" ht="15">
      <c r="C391" s="622"/>
      <c r="D391" s="622"/>
      <c r="E391" s="621"/>
    </row>
    <row r="392" spans="3:5" ht="15">
      <c r="C392" s="622"/>
      <c r="D392" s="622"/>
      <c r="E392" s="621"/>
    </row>
    <row r="393" spans="3:5" ht="15">
      <c r="C393" s="622"/>
      <c r="D393" s="622"/>
      <c r="E393" s="621"/>
    </row>
    <row r="394" spans="3:5" ht="15">
      <c r="C394" s="622"/>
      <c r="D394" s="622"/>
      <c r="E394" s="621"/>
    </row>
    <row r="395" spans="3:5" ht="15">
      <c r="C395" s="622"/>
      <c r="D395" s="622"/>
      <c r="E395" s="621"/>
    </row>
    <row r="396" spans="3:5" ht="15">
      <c r="C396" s="622"/>
      <c r="D396" s="622"/>
      <c r="E396" s="621"/>
    </row>
    <row r="397" spans="3:5" ht="15">
      <c r="C397" s="622"/>
      <c r="D397" s="622"/>
      <c r="E397" s="621"/>
    </row>
    <row r="398" spans="3:5" ht="15">
      <c r="C398" s="622"/>
      <c r="D398" s="622"/>
      <c r="E398" s="621"/>
    </row>
    <row r="399" spans="3:5" ht="15">
      <c r="C399" s="622"/>
      <c r="D399" s="622"/>
      <c r="E399" s="621"/>
    </row>
    <row r="400" spans="3:5" ht="15">
      <c r="C400" s="622"/>
      <c r="D400" s="622"/>
      <c r="E400" s="621"/>
    </row>
    <row r="401" spans="3:5" ht="15">
      <c r="C401" s="622"/>
      <c r="D401" s="622"/>
      <c r="E401" s="621"/>
    </row>
    <row r="402" spans="3:5" ht="15">
      <c r="C402" s="622"/>
      <c r="D402" s="622"/>
      <c r="E402" s="621"/>
    </row>
    <row r="403" spans="3:5" ht="15">
      <c r="C403" s="622"/>
      <c r="D403" s="622"/>
      <c r="E403" s="621"/>
    </row>
    <row r="404" spans="3:5" ht="15">
      <c r="C404" s="622"/>
      <c r="D404" s="622"/>
      <c r="E404" s="621"/>
    </row>
    <row r="405" spans="3:5" ht="15">
      <c r="C405" s="622"/>
      <c r="D405" s="622"/>
      <c r="E405" s="621"/>
    </row>
    <row r="406" spans="3:5" ht="15">
      <c r="C406" s="622"/>
      <c r="D406" s="622"/>
      <c r="E406" s="621"/>
    </row>
    <row r="407" spans="3:5" ht="15">
      <c r="C407" s="622"/>
      <c r="D407" s="622"/>
      <c r="E407" s="621"/>
    </row>
    <row r="408" spans="3:5" ht="15">
      <c r="C408" s="622"/>
      <c r="D408" s="622"/>
      <c r="E408" s="621"/>
    </row>
    <row r="409" spans="3:5" ht="15">
      <c r="C409" s="622"/>
      <c r="D409" s="622"/>
      <c r="E409" s="621"/>
    </row>
    <row r="410" spans="3:5" ht="15">
      <c r="C410" s="622"/>
      <c r="D410" s="622"/>
      <c r="E410" s="621"/>
    </row>
    <row r="411" spans="3:5" ht="15">
      <c r="C411" s="622"/>
      <c r="D411" s="622"/>
      <c r="E411" s="621"/>
    </row>
    <row r="412" spans="3:5" ht="15">
      <c r="C412" s="622"/>
      <c r="D412" s="622"/>
      <c r="E412" s="621"/>
    </row>
    <row r="413" spans="3:5" ht="15">
      <c r="C413" s="622"/>
      <c r="D413" s="622"/>
      <c r="E413" s="621"/>
    </row>
    <row r="414" spans="3:5" ht="15">
      <c r="C414" s="622"/>
      <c r="D414" s="622"/>
      <c r="E414" s="621"/>
    </row>
    <row r="415" spans="3:5" ht="15">
      <c r="C415" s="622"/>
      <c r="D415" s="622"/>
      <c r="E415" s="621"/>
    </row>
    <row r="416" spans="3:5" ht="15">
      <c r="C416" s="622"/>
      <c r="D416" s="622"/>
      <c r="E416" s="621"/>
    </row>
    <row r="417" spans="3:5" ht="15">
      <c r="C417" s="622"/>
      <c r="D417" s="622"/>
      <c r="E417" s="621"/>
    </row>
    <row r="418" spans="3:5" ht="15">
      <c r="C418" s="622"/>
      <c r="D418" s="622"/>
      <c r="E418" s="621"/>
    </row>
    <row r="419" spans="3:5" ht="15">
      <c r="C419" s="622"/>
      <c r="D419" s="622"/>
      <c r="E419" s="621"/>
    </row>
    <row r="420" spans="3:5" ht="15">
      <c r="C420" s="622"/>
      <c r="D420" s="622"/>
      <c r="E420" s="621"/>
    </row>
    <row r="421" spans="3:5" ht="15">
      <c r="C421" s="622"/>
      <c r="D421" s="622"/>
      <c r="E421" s="621"/>
    </row>
    <row r="422" spans="3:5" ht="15">
      <c r="C422" s="622"/>
      <c r="D422" s="622"/>
      <c r="E422" s="621"/>
    </row>
    <row r="423" spans="3:5" ht="15">
      <c r="C423" s="622"/>
      <c r="D423" s="622"/>
      <c r="E423" s="621"/>
    </row>
    <row r="424" spans="3:5" ht="15">
      <c r="C424" s="622"/>
      <c r="D424" s="622"/>
      <c r="E424" s="621"/>
    </row>
    <row r="425" spans="3:5" ht="15">
      <c r="C425" s="622"/>
      <c r="D425" s="622"/>
      <c r="E425" s="621"/>
    </row>
    <row r="426" spans="3:5" ht="15">
      <c r="C426" s="622"/>
      <c r="D426" s="622"/>
      <c r="E426" s="621"/>
    </row>
    <row r="427" spans="3:5" ht="15">
      <c r="C427" s="622"/>
      <c r="D427" s="622"/>
      <c r="E427" s="621"/>
    </row>
    <row r="428" spans="3:5" ht="15">
      <c r="C428" s="622"/>
      <c r="D428" s="622"/>
      <c r="E428" s="621"/>
    </row>
    <row r="429" spans="3:5" ht="15">
      <c r="C429" s="622"/>
      <c r="D429" s="622"/>
      <c r="E429" s="621"/>
    </row>
    <row r="430" spans="3:5" ht="15">
      <c r="C430" s="622"/>
      <c r="D430" s="622"/>
      <c r="E430" s="621"/>
    </row>
    <row r="431" spans="3:5" ht="15">
      <c r="C431" s="622"/>
      <c r="D431" s="622"/>
      <c r="E431" s="621"/>
    </row>
    <row r="432" spans="3:5" ht="15">
      <c r="C432" s="622"/>
      <c r="D432" s="622"/>
      <c r="E432" s="621"/>
    </row>
    <row r="433" spans="3:5" ht="15">
      <c r="C433" s="622"/>
      <c r="D433" s="622"/>
      <c r="E433" s="621"/>
    </row>
    <row r="434" spans="3:5" ht="15">
      <c r="C434" s="622"/>
      <c r="D434" s="622"/>
      <c r="E434" s="621"/>
    </row>
    <row r="435" spans="3:5" ht="15">
      <c r="C435" s="622"/>
      <c r="D435" s="622"/>
      <c r="E435" s="621"/>
    </row>
    <row r="436" spans="3:5" ht="15">
      <c r="C436" s="622"/>
      <c r="D436" s="622"/>
      <c r="E436" s="621"/>
    </row>
    <row r="437" spans="3:5" ht="15">
      <c r="C437" s="622"/>
      <c r="D437" s="622"/>
      <c r="E437" s="621"/>
    </row>
    <row r="438" spans="3:5" ht="15">
      <c r="C438" s="622"/>
      <c r="D438" s="622"/>
      <c r="E438" s="621"/>
    </row>
    <row r="439" spans="3:5" ht="15">
      <c r="C439" s="622"/>
      <c r="D439" s="622"/>
      <c r="E439" s="621"/>
    </row>
    <row r="440" spans="3:5" ht="15">
      <c r="C440" s="622"/>
      <c r="D440" s="622"/>
      <c r="E440" s="621"/>
    </row>
    <row r="441" spans="3:5" ht="15">
      <c r="C441" s="622"/>
      <c r="D441" s="622"/>
      <c r="E441" s="621"/>
    </row>
    <row r="442" spans="3:5" ht="15">
      <c r="C442" s="622"/>
      <c r="D442" s="622"/>
      <c r="E442" s="621"/>
    </row>
    <row r="443" spans="3:5" ht="15">
      <c r="C443" s="622"/>
      <c r="D443" s="622"/>
      <c r="E443" s="621"/>
    </row>
    <row r="444" spans="3:5" ht="15">
      <c r="C444" s="622"/>
      <c r="D444" s="622"/>
      <c r="E444" s="621"/>
    </row>
    <row r="445" spans="3:5" ht="15">
      <c r="C445" s="622"/>
      <c r="D445" s="622"/>
      <c r="E445" s="621"/>
    </row>
    <row r="446" spans="3:5" ht="15">
      <c r="C446" s="622"/>
      <c r="D446" s="622"/>
      <c r="E446" s="621"/>
    </row>
    <row r="447" spans="3:5" ht="15">
      <c r="C447" s="622"/>
      <c r="D447" s="622"/>
      <c r="E447" s="621"/>
    </row>
    <row r="448" spans="3:5" ht="15">
      <c r="C448" s="622"/>
      <c r="D448" s="622"/>
      <c r="E448" s="621"/>
    </row>
    <row r="449" spans="3:5" ht="15">
      <c r="C449" s="622"/>
      <c r="D449" s="622"/>
      <c r="E449" s="621"/>
    </row>
    <row r="450" spans="3:5" ht="15">
      <c r="C450" s="622"/>
      <c r="D450" s="622"/>
      <c r="E450" s="621"/>
    </row>
    <row r="451" spans="3:5" ht="15">
      <c r="C451" s="622"/>
      <c r="D451" s="622"/>
      <c r="E451" s="621"/>
    </row>
    <row r="452" spans="3:5" ht="15">
      <c r="C452" s="622"/>
      <c r="D452" s="622"/>
      <c r="E452" s="621"/>
    </row>
    <row r="453" spans="3:5" ht="15">
      <c r="C453" s="622"/>
      <c r="D453" s="622"/>
      <c r="E453" s="621"/>
    </row>
    <row r="454" spans="3:5" ht="15">
      <c r="C454" s="622"/>
      <c r="D454" s="622"/>
      <c r="E454" s="621"/>
    </row>
    <row r="455" spans="3:5" ht="15">
      <c r="C455" s="622"/>
      <c r="D455" s="622"/>
      <c r="E455" s="621"/>
    </row>
    <row r="456" spans="3:5" ht="15">
      <c r="C456" s="622"/>
      <c r="D456" s="622"/>
      <c r="E456" s="621"/>
    </row>
    <row r="457" spans="3:5" ht="15">
      <c r="C457" s="622"/>
      <c r="D457" s="622"/>
      <c r="E457" s="621"/>
    </row>
    <row r="458" spans="3:5" ht="15">
      <c r="C458" s="622"/>
      <c r="D458" s="622"/>
      <c r="E458" s="621"/>
    </row>
    <row r="459" spans="3:5" ht="15">
      <c r="C459" s="622"/>
      <c r="D459" s="622"/>
      <c r="E459" s="621"/>
    </row>
    <row r="460" spans="3:5" ht="15">
      <c r="C460" s="622"/>
      <c r="D460" s="622"/>
      <c r="E460" s="621"/>
    </row>
    <row r="461" spans="3:5" ht="15">
      <c r="C461" s="622"/>
      <c r="D461" s="622"/>
      <c r="E461" s="621"/>
    </row>
    <row r="462" spans="3:5" ht="15">
      <c r="C462" s="622"/>
      <c r="D462" s="622"/>
      <c r="E462" s="621"/>
    </row>
    <row r="463" spans="3:5" ht="15">
      <c r="C463" s="622"/>
      <c r="D463" s="622"/>
      <c r="E463" s="621"/>
    </row>
    <row r="464" spans="3:5" ht="15">
      <c r="C464" s="622"/>
      <c r="D464" s="622"/>
      <c r="E464" s="621"/>
    </row>
    <row r="465" spans="3:5" ht="15">
      <c r="C465" s="622"/>
      <c r="D465" s="622"/>
      <c r="E465" s="621"/>
    </row>
    <row r="466" spans="3:5" ht="15">
      <c r="C466" s="622"/>
      <c r="D466" s="622"/>
      <c r="E466" s="621"/>
    </row>
    <row r="467" spans="3:5" ht="15">
      <c r="C467" s="622"/>
      <c r="D467" s="622"/>
      <c r="E467" s="621"/>
    </row>
    <row r="468" spans="3:5" ht="15">
      <c r="C468" s="622"/>
      <c r="D468" s="622"/>
      <c r="E468" s="621"/>
    </row>
    <row r="469" spans="3:5" ht="15">
      <c r="C469" s="622"/>
      <c r="D469" s="622"/>
      <c r="E469" s="621"/>
    </row>
    <row r="470" spans="3:5" ht="15">
      <c r="C470" s="622"/>
      <c r="D470" s="622"/>
      <c r="E470" s="621"/>
    </row>
    <row r="471" spans="3:5" ht="15">
      <c r="C471" s="622"/>
      <c r="D471" s="622"/>
      <c r="E471" s="621"/>
    </row>
    <row r="472" spans="3:5" ht="15">
      <c r="C472" s="622"/>
      <c r="D472" s="622"/>
      <c r="E472" s="621"/>
    </row>
    <row r="473" spans="3:5" ht="15">
      <c r="C473" s="622"/>
      <c r="D473" s="622"/>
      <c r="E473" s="621"/>
    </row>
    <row r="474" spans="3:5" ht="15">
      <c r="C474" s="622"/>
      <c r="D474" s="622"/>
      <c r="E474" s="621"/>
    </row>
    <row r="475" spans="3:5" ht="15">
      <c r="C475" s="622"/>
      <c r="D475" s="622"/>
      <c r="E475" s="621"/>
    </row>
    <row r="476" spans="3:5" ht="15">
      <c r="C476" s="622"/>
      <c r="D476" s="622"/>
      <c r="E476" s="621"/>
    </row>
    <row r="477" spans="3:5" ht="15">
      <c r="C477" s="622"/>
      <c r="D477" s="622"/>
      <c r="E477" s="621"/>
    </row>
    <row r="478" spans="3:5" ht="15">
      <c r="C478" s="622"/>
      <c r="D478" s="622"/>
      <c r="E478" s="621"/>
    </row>
    <row r="479" spans="3:5" ht="15">
      <c r="C479" s="622"/>
      <c r="D479" s="622"/>
      <c r="E479" s="621"/>
    </row>
    <row r="480" spans="3:5" ht="15">
      <c r="C480" s="622"/>
      <c r="D480" s="622"/>
      <c r="E480" s="621"/>
    </row>
    <row r="481" spans="3:5" ht="15">
      <c r="C481" s="622"/>
      <c r="D481" s="622"/>
      <c r="E481" s="621"/>
    </row>
    <row r="482" spans="3:5" ht="15">
      <c r="C482" s="622"/>
      <c r="D482" s="622"/>
      <c r="E482" s="621"/>
    </row>
    <row r="483" spans="3:5" ht="15">
      <c r="C483" s="622"/>
      <c r="D483" s="622"/>
      <c r="E483" s="621"/>
    </row>
    <row r="484" spans="3:5" ht="15">
      <c r="C484" s="622"/>
      <c r="D484" s="622"/>
      <c r="E484" s="621"/>
    </row>
    <row r="485" spans="3:5" ht="15">
      <c r="C485" s="622"/>
      <c r="D485" s="622"/>
      <c r="E485" s="621"/>
    </row>
    <row r="486" spans="3:5" ht="15">
      <c r="C486" s="622"/>
      <c r="D486" s="622"/>
      <c r="E486" s="621"/>
    </row>
    <row r="487" spans="3:5" ht="15">
      <c r="C487" s="622"/>
      <c r="D487" s="622"/>
      <c r="E487" s="621"/>
    </row>
    <row r="488" spans="3:5" ht="15">
      <c r="C488" s="622"/>
      <c r="D488" s="622"/>
      <c r="E488" s="621"/>
    </row>
    <row r="489" spans="3:5" ht="15">
      <c r="C489" s="622"/>
      <c r="D489" s="622"/>
      <c r="E489" s="621"/>
    </row>
    <row r="490" spans="3:5" ht="15">
      <c r="C490" s="622"/>
      <c r="D490" s="622"/>
      <c r="E490" s="621"/>
    </row>
    <row r="491" spans="3:5" ht="15">
      <c r="C491" s="622"/>
      <c r="D491" s="622"/>
      <c r="E491" s="621"/>
    </row>
    <row r="492" spans="3:5" ht="15">
      <c r="C492" s="622"/>
      <c r="D492" s="622"/>
      <c r="E492" s="621"/>
    </row>
    <row r="493" spans="3:5" ht="15">
      <c r="C493" s="622"/>
      <c r="D493" s="622"/>
      <c r="E493" s="621"/>
    </row>
    <row r="494" spans="3:5" ht="15">
      <c r="C494" s="622"/>
      <c r="D494" s="622"/>
      <c r="E494" s="621"/>
    </row>
    <row r="495" spans="3:5" ht="15">
      <c r="C495" s="622"/>
      <c r="D495" s="622"/>
      <c r="E495" s="621"/>
    </row>
    <row r="496" spans="3:5" ht="15">
      <c r="C496" s="622"/>
      <c r="D496" s="622"/>
      <c r="E496" s="621"/>
    </row>
    <row r="497" spans="3:5" ht="15">
      <c r="C497" s="622"/>
      <c r="D497" s="622"/>
      <c r="E497" s="621"/>
    </row>
    <row r="498" spans="3:5" ht="15">
      <c r="C498" s="622"/>
      <c r="D498" s="622"/>
      <c r="E498" s="621"/>
    </row>
    <row r="499" spans="3:5" ht="15">
      <c r="C499" s="622"/>
      <c r="D499" s="622"/>
      <c r="E499" s="621"/>
    </row>
    <row r="500" spans="3:5" ht="15">
      <c r="C500" s="622"/>
      <c r="D500" s="622"/>
      <c r="E500" s="621"/>
    </row>
    <row r="501" spans="3:5" ht="15">
      <c r="C501" s="622"/>
      <c r="D501" s="622"/>
      <c r="E501" s="621"/>
    </row>
    <row r="502" spans="3:5" ht="15">
      <c r="C502" s="622"/>
      <c r="D502" s="622"/>
      <c r="E502" s="621"/>
    </row>
    <row r="503" spans="3:5" ht="15">
      <c r="C503" s="622"/>
      <c r="D503" s="622"/>
      <c r="E503" s="621"/>
    </row>
    <row r="504" spans="3:5" ht="15">
      <c r="C504" s="622"/>
      <c r="D504" s="622"/>
      <c r="E504" s="621"/>
    </row>
    <row r="505" spans="3:5" ht="15">
      <c r="C505" s="622"/>
      <c r="D505" s="622"/>
      <c r="E505" s="621"/>
    </row>
    <row r="506" spans="3:5" ht="15">
      <c r="C506" s="622"/>
      <c r="D506" s="622"/>
      <c r="E506" s="621"/>
    </row>
    <row r="507" spans="3:5" ht="15">
      <c r="C507" s="622"/>
      <c r="D507" s="622"/>
      <c r="E507" s="621"/>
    </row>
    <row r="508" spans="3:5" ht="15">
      <c r="C508" s="622"/>
      <c r="D508" s="622"/>
      <c r="E508" s="621"/>
    </row>
    <row r="509" spans="3:5" ht="15">
      <c r="C509" s="622"/>
      <c r="D509" s="622"/>
      <c r="E509" s="621"/>
    </row>
    <row r="510" spans="3:5" ht="15">
      <c r="C510" s="622"/>
      <c r="D510" s="622"/>
      <c r="E510" s="621"/>
    </row>
    <row r="511" spans="3:5" ht="15">
      <c r="C511" s="622"/>
      <c r="D511" s="622"/>
      <c r="E511" s="621"/>
    </row>
    <row r="512" spans="3:5" ht="15">
      <c r="C512" s="622"/>
      <c r="D512" s="622"/>
      <c r="E512" s="621"/>
    </row>
    <row r="513" spans="3:5" ht="15">
      <c r="C513" s="622"/>
      <c r="D513" s="622"/>
      <c r="E513" s="621"/>
    </row>
    <row r="514" spans="3:5" ht="15">
      <c r="C514" s="622"/>
      <c r="D514" s="622"/>
      <c r="E514" s="621"/>
    </row>
    <row r="515" spans="3:5" ht="15">
      <c r="C515" s="622"/>
      <c r="D515" s="622"/>
      <c r="E515" s="621"/>
    </row>
    <row r="516" spans="3:5" ht="15">
      <c r="C516" s="622"/>
      <c r="D516" s="622"/>
      <c r="E516" s="621"/>
    </row>
    <row r="517" spans="3:5" ht="15">
      <c r="C517" s="622"/>
      <c r="D517" s="622"/>
      <c r="E517" s="621"/>
    </row>
    <row r="518" spans="3:5" ht="15">
      <c r="C518" s="622"/>
      <c r="D518" s="622"/>
      <c r="E518" s="621"/>
    </row>
    <row r="519" spans="3:5" ht="15">
      <c r="C519" s="622"/>
      <c r="D519" s="622"/>
      <c r="E519" s="621"/>
    </row>
    <row r="520" spans="3:5" ht="15">
      <c r="C520" s="622"/>
      <c r="D520" s="622"/>
      <c r="E520" s="621"/>
    </row>
    <row r="521" spans="3:5" ht="15">
      <c r="C521" s="622"/>
      <c r="D521" s="622"/>
      <c r="E521" s="621"/>
    </row>
    <row r="522" spans="3:5" ht="15">
      <c r="C522" s="622"/>
      <c r="D522" s="622"/>
      <c r="E522" s="621"/>
    </row>
    <row r="523" spans="3:5" ht="15">
      <c r="C523" s="622"/>
      <c r="D523" s="622"/>
      <c r="E523" s="621"/>
    </row>
    <row r="524" spans="3:5" ht="15">
      <c r="C524" s="622"/>
      <c r="D524" s="622"/>
      <c r="E524" s="621"/>
    </row>
    <row r="525" spans="3:5" ht="15">
      <c r="C525" s="622"/>
      <c r="D525" s="622"/>
      <c r="E525" s="621"/>
    </row>
    <row r="526" spans="3:5" ht="15">
      <c r="C526" s="622"/>
      <c r="D526" s="622"/>
      <c r="E526" s="621"/>
    </row>
    <row r="527" spans="3:5" ht="15">
      <c r="C527" s="622"/>
      <c r="D527" s="622"/>
      <c r="E527" s="621"/>
    </row>
    <row r="528" spans="3:5" ht="15">
      <c r="C528" s="622"/>
      <c r="D528" s="622"/>
      <c r="E528" s="621"/>
    </row>
    <row r="529" spans="3:5" ht="15">
      <c r="C529" s="622"/>
      <c r="D529" s="622"/>
      <c r="E529" s="621"/>
    </row>
    <row r="530" spans="3:5" ht="15">
      <c r="C530" s="622"/>
      <c r="D530" s="622"/>
      <c r="E530" s="621"/>
    </row>
    <row r="531" spans="3:5" ht="15">
      <c r="C531" s="622"/>
      <c r="D531" s="622"/>
      <c r="E531" s="621"/>
    </row>
    <row r="532" spans="3:5" ht="15">
      <c r="C532" s="622"/>
      <c r="D532" s="622"/>
      <c r="E532" s="621"/>
    </row>
    <row r="533" spans="3:5" ht="15">
      <c r="C533" s="622"/>
      <c r="D533" s="622"/>
      <c r="E533" s="621"/>
    </row>
    <row r="534" spans="3:5" ht="15">
      <c r="C534" s="622"/>
      <c r="D534" s="622"/>
      <c r="E534" s="621"/>
    </row>
    <row r="535" spans="3:5" ht="15">
      <c r="C535" s="622"/>
      <c r="D535" s="622"/>
      <c r="E535" s="621"/>
    </row>
    <row r="536" spans="3:5" ht="15">
      <c r="C536" s="622"/>
      <c r="D536" s="622"/>
      <c r="E536" s="621"/>
    </row>
    <row r="537" spans="3:5" ht="15">
      <c r="C537" s="622"/>
      <c r="D537" s="622"/>
      <c r="E537" s="621"/>
    </row>
    <row r="538" spans="3:5" ht="15">
      <c r="C538" s="622"/>
      <c r="D538" s="622"/>
      <c r="E538" s="621"/>
    </row>
    <row r="539" spans="3:5" ht="15">
      <c r="C539" s="622"/>
      <c r="D539" s="622"/>
      <c r="E539" s="621"/>
    </row>
    <row r="540" spans="3:5" ht="15">
      <c r="C540" s="622"/>
      <c r="D540" s="622"/>
      <c r="E540" s="621"/>
    </row>
    <row r="541" spans="3:5" ht="15">
      <c r="C541" s="622"/>
      <c r="D541" s="622"/>
      <c r="E541" s="621"/>
    </row>
    <row r="542" spans="3:5" ht="15">
      <c r="C542" s="622"/>
      <c r="D542" s="622"/>
      <c r="E542" s="621"/>
    </row>
    <row r="543" spans="3:5" ht="15">
      <c r="C543" s="622"/>
      <c r="D543" s="622"/>
      <c r="E543" s="621"/>
    </row>
    <row r="544" spans="3:5" ht="15">
      <c r="C544" s="622"/>
      <c r="D544" s="622"/>
      <c r="E544" s="621"/>
    </row>
    <row r="545" spans="3:5" ht="15">
      <c r="C545" s="622"/>
      <c r="D545" s="622"/>
      <c r="E545" s="621"/>
    </row>
    <row r="546" spans="3:5" ht="15">
      <c r="C546" s="622"/>
      <c r="D546" s="622"/>
      <c r="E546" s="621"/>
    </row>
    <row r="547" spans="3:5" ht="15">
      <c r="C547" s="622"/>
      <c r="D547" s="622"/>
      <c r="E547" s="621"/>
    </row>
    <row r="548" spans="3:5" ht="15">
      <c r="C548" s="622"/>
      <c r="D548" s="622"/>
      <c r="E548" s="621"/>
    </row>
    <row r="549" spans="3:5" ht="15">
      <c r="C549" s="622"/>
      <c r="D549" s="622"/>
      <c r="E549" s="621"/>
    </row>
    <row r="550" spans="3:5" ht="15">
      <c r="C550" s="622"/>
      <c r="D550" s="622"/>
      <c r="E550" s="621"/>
    </row>
    <row r="551" spans="3:5" ht="15">
      <c r="C551" s="622"/>
      <c r="D551" s="622"/>
      <c r="E551" s="621"/>
    </row>
    <row r="552" spans="3:5" ht="15">
      <c r="C552" s="622"/>
      <c r="D552" s="622"/>
      <c r="E552" s="621"/>
    </row>
    <row r="553" spans="3:5" ht="15">
      <c r="C553" s="622"/>
      <c r="D553" s="622"/>
      <c r="E553" s="621"/>
    </row>
    <row r="554" spans="3:5" ht="15">
      <c r="C554" s="622"/>
      <c r="D554" s="622"/>
      <c r="E554" s="621"/>
    </row>
    <row r="555" spans="3:5" ht="15">
      <c r="C555" s="622"/>
      <c r="D555" s="622"/>
      <c r="E555" s="621"/>
    </row>
    <row r="556" spans="3:5" ht="15">
      <c r="C556" s="622"/>
      <c r="D556" s="622"/>
      <c r="E556" s="621"/>
    </row>
    <row r="557" spans="3:5" ht="15">
      <c r="C557" s="622"/>
      <c r="D557" s="622"/>
      <c r="E557" s="621"/>
    </row>
    <row r="558" spans="3:5" ht="15">
      <c r="C558" s="622"/>
      <c r="D558" s="622"/>
      <c r="E558" s="621"/>
    </row>
    <row r="559" spans="3:5" ht="15">
      <c r="C559" s="622"/>
      <c r="D559" s="622"/>
      <c r="E559" s="621"/>
    </row>
    <row r="560" spans="3:5" ht="15">
      <c r="C560" s="622"/>
      <c r="D560" s="622"/>
      <c r="E560" s="621"/>
    </row>
    <row r="561" spans="3:5" ht="15">
      <c r="C561" s="622"/>
      <c r="D561" s="622"/>
      <c r="E561" s="621"/>
    </row>
    <row r="562" spans="3:5" ht="15">
      <c r="C562" s="622"/>
      <c r="D562" s="622"/>
      <c r="E562" s="621"/>
    </row>
    <row r="563" spans="3:5" ht="15">
      <c r="C563" s="622"/>
      <c r="D563" s="622"/>
      <c r="E563" s="621"/>
    </row>
    <row r="564" spans="3:5" ht="15">
      <c r="C564" s="622"/>
      <c r="D564" s="622"/>
      <c r="E564" s="621"/>
    </row>
    <row r="565" spans="3:5" ht="15">
      <c r="C565" s="622"/>
      <c r="D565" s="622"/>
      <c r="E565" s="621"/>
    </row>
    <row r="566" spans="3:5" ht="15">
      <c r="C566" s="622"/>
      <c r="D566" s="622"/>
      <c r="E566" s="621"/>
    </row>
    <row r="567" spans="3:5" ht="15">
      <c r="C567" s="622"/>
      <c r="D567" s="622"/>
      <c r="E567" s="621"/>
    </row>
    <row r="568" spans="3:5" ht="15">
      <c r="C568" s="622"/>
      <c r="D568" s="622"/>
      <c r="E568" s="621"/>
    </row>
    <row r="569" spans="3:5" ht="15">
      <c r="C569" s="622"/>
      <c r="D569" s="622"/>
      <c r="E569" s="621"/>
    </row>
    <row r="570" spans="3:5" ht="15">
      <c r="C570" s="622"/>
      <c r="D570" s="622"/>
      <c r="E570" s="621"/>
    </row>
    <row r="571" spans="3:5" ht="15">
      <c r="C571" s="622"/>
      <c r="D571" s="622"/>
      <c r="E571" s="621"/>
    </row>
    <row r="572" spans="3:5" ht="15">
      <c r="C572" s="622"/>
      <c r="D572" s="622"/>
      <c r="E572" s="621"/>
    </row>
    <row r="573" spans="3:5" ht="15">
      <c r="C573" s="622"/>
      <c r="D573" s="622"/>
      <c r="E573" s="621"/>
    </row>
    <row r="574" spans="3:5" ht="15">
      <c r="C574" s="622"/>
      <c r="D574" s="622"/>
      <c r="E574" s="621"/>
    </row>
    <row r="575" spans="3:5" ht="15">
      <c r="C575" s="622"/>
      <c r="D575" s="622"/>
      <c r="E575" s="621"/>
    </row>
    <row r="576" spans="3:5" ht="15">
      <c r="C576" s="622"/>
      <c r="D576" s="622"/>
      <c r="E576" s="621"/>
    </row>
    <row r="577" spans="3:5" ht="15">
      <c r="C577" s="622"/>
      <c r="D577" s="622"/>
      <c r="E577" s="621"/>
    </row>
    <row r="578" spans="3:5" ht="15">
      <c r="C578" s="622"/>
      <c r="D578" s="622"/>
      <c r="E578" s="621"/>
    </row>
    <row r="579" spans="3:5" ht="15">
      <c r="C579" s="622"/>
      <c r="D579" s="622"/>
      <c r="E579" s="621"/>
    </row>
    <row r="580" spans="3:5" ht="15">
      <c r="C580" s="622"/>
      <c r="D580" s="622"/>
      <c r="E580" s="621"/>
    </row>
    <row r="581" spans="3:5" ht="15">
      <c r="C581" s="622"/>
      <c r="D581" s="622"/>
      <c r="E581" s="621"/>
    </row>
    <row r="582" spans="3:5" ht="15">
      <c r="C582" s="622"/>
      <c r="D582" s="622"/>
      <c r="E582" s="621"/>
    </row>
    <row r="583" spans="3:5" ht="15">
      <c r="C583" s="622"/>
      <c r="D583" s="622"/>
      <c r="E583" s="621"/>
    </row>
    <row r="584" spans="3:5" ht="15">
      <c r="C584" s="622"/>
      <c r="D584" s="622"/>
      <c r="E584" s="621"/>
    </row>
    <row r="585" spans="3:5" ht="15">
      <c r="C585" s="622"/>
      <c r="D585" s="622"/>
      <c r="E585" s="621"/>
    </row>
    <row r="586" spans="3:5" ht="15">
      <c r="C586" s="622"/>
      <c r="D586" s="622"/>
      <c r="E586" s="621"/>
    </row>
    <row r="587" spans="3:5" ht="15">
      <c r="C587" s="622"/>
      <c r="D587" s="622"/>
      <c r="E587" s="621"/>
    </row>
    <row r="588" spans="3:5" ht="15">
      <c r="C588" s="622"/>
      <c r="D588" s="622"/>
      <c r="E588" s="621"/>
    </row>
    <row r="589" spans="3:5" ht="15">
      <c r="C589" s="622"/>
      <c r="D589" s="622"/>
      <c r="E589" s="621"/>
    </row>
    <row r="590" spans="3:5" ht="15">
      <c r="C590" s="622"/>
      <c r="D590" s="622"/>
      <c r="E590" s="621"/>
    </row>
    <row r="591" spans="3:5" ht="15">
      <c r="C591" s="622"/>
      <c r="D591" s="622"/>
      <c r="E591" s="621"/>
    </row>
    <row r="592" spans="3:5" ht="15">
      <c r="C592" s="622"/>
      <c r="D592" s="622"/>
      <c r="E592" s="621"/>
    </row>
    <row r="593" spans="3:5" ht="15">
      <c r="C593" s="622"/>
      <c r="D593" s="622"/>
      <c r="E593" s="621"/>
    </row>
    <row r="594" spans="3:5" ht="15">
      <c r="C594" s="622"/>
      <c r="D594" s="622"/>
      <c r="E594" s="621"/>
    </row>
    <row r="595" spans="3:5" ht="15">
      <c r="C595" s="622"/>
      <c r="D595" s="622"/>
      <c r="E595" s="621"/>
    </row>
    <row r="596" spans="3:5" ht="15">
      <c r="C596" s="622"/>
      <c r="D596" s="622"/>
      <c r="E596" s="621"/>
    </row>
    <row r="597" spans="3:5" ht="15">
      <c r="C597" s="622"/>
      <c r="D597" s="622"/>
      <c r="E597" s="621"/>
    </row>
    <row r="598" spans="3:5" ht="15">
      <c r="C598" s="622"/>
      <c r="D598" s="622"/>
      <c r="E598" s="621"/>
    </row>
    <row r="599" spans="3:5" ht="15">
      <c r="C599" s="622"/>
      <c r="D599" s="622"/>
      <c r="E599" s="621"/>
    </row>
    <row r="600" spans="3:5" ht="15">
      <c r="C600" s="622"/>
      <c r="D600" s="622"/>
      <c r="E600" s="621"/>
    </row>
    <row r="601" spans="3:5" ht="15">
      <c r="C601" s="622"/>
      <c r="D601" s="622"/>
      <c r="E601" s="621"/>
    </row>
    <row r="602" spans="3:5" ht="15">
      <c r="C602" s="622"/>
      <c r="D602" s="622"/>
      <c r="E602" s="621"/>
    </row>
    <row r="603" spans="3:5" ht="15">
      <c r="C603" s="622"/>
      <c r="D603" s="622"/>
      <c r="E603" s="621"/>
    </row>
    <row r="604" spans="3:5" ht="15">
      <c r="C604" s="622"/>
      <c r="D604" s="622"/>
      <c r="E604" s="621"/>
    </row>
    <row r="605" spans="3:5" ht="15">
      <c r="C605" s="622"/>
      <c r="D605" s="622"/>
      <c r="E605" s="621"/>
    </row>
    <row r="606" spans="3:5" ht="15">
      <c r="C606" s="622"/>
      <c r="D606" s="622"/>
      <c r="E606" s="621"/>
    </row>
    <row r="607" spans="3:5" ht="15">
      <c r="C607" s="622"/>
      <c r="D607" s="622"/>
      <c r="E607" s="621"/>
    </row>
    <row r="608" spans="3:5" ht="15">
      <c r="C608" s="622"/>
      <c r="D608" s="622"/>
      <c r="E608" s="621"/>
    </row>
    <row r="609" spans="3:5" ht="15">
      <c r="C609" s="622"/>
      <c r="D609" s="622"/>
      <c r="E609" s="621"/>
    </row>
    <row r="610" spans="3:5" ht="15">
      <c r="C610" s="622"/>
      <c r="D610" s="622"/>
      <c r="E610" s="621"/>
    </row>
    <row r="611" spans="3:5" ht="15">
      <c r="C611" s="622"/>
      <c r="D611" s="622"/>
      <c r="E611" s="621"/>
    </row>
    <row r="612" spans="3:5" ht="15">
      <c r="C612" s="622"/>
      <c r="D612" s="622"/>
      <c r="E612" s="621"/>
    </row>
    <row r="613" spans="3:5" ht="15">
      <c r="C613" s="622"/>
      <c r="D613" s="622"/>
      <c r="E613" s="621"/>
    </row>
    <row r="614" spans="3:5" ht="15">
      <c r="C614" s="622"/>
      <c r="D614" s="622"/>
      <c r="E614" s="621"/>
    </row>
    <row r="615" spans="3:5" ht="15">
      <c r="C615" s="622"/>
      <c r="D615" s="622"/>
      <c r="E615" s="621"/>
    </row>
    <row r="616" spans="3:5" ht="15">
      <c r="C616" s="622"/>
      <c r="D616" s="622"/>
      <c r="E616" s="621"/>
    </row>
    <row r="617" spans="3:5" ht="15">
      <c r="C617" s="622"/>
      <c r="D617" s="622"/>
      <c r="E617" s="621"/>
    </row>
    <row r="618" spans="3:5" ht="15">
      <c r="C618" s="622"/>
      <c r="D618" s="622"/>
      <c r="E618" s="621"/>
    </row>
    <row r="619" spans="3:5" ht="15">
      <c r="C619" s="622"/>
      <c r="D619" s="622"/>
      <c r="E619" s="621"/>
    </row>
    <row r="620" spans="3:5" ht="15">
      <c r="C620" s="622"/>
      <c r="D620" s="622"/>
      <c r="E620" s="621"/>
    </row>
    <row r="621" spans="3:5" ht="15">
      <c r="C621" s="622"/>
      <c r="D621" s="622"/>
      <c r="E621" s="621"/>
    </row>
    <row r="622" spans="3:5" ht="15">
      <c r="C622" s="622"/>
      <c r="D622" s="622"/>
      <c r="E622" s="621"/>
    </row>
    <row r="623" spans="3:5" ht="15">
      <c r="C623" s="622"/>
      <c r="D623" s="622"/>
      <c r="E623" s="621"/>
    </row>
    <row r="624" spans="3:5" ht="15">
      <c r="C624" s="622"/>
      <c r="D624" s="622"/>
      <c r="E624" s="621"/>
    </row>
    <row r="625" spans="3:5" ht="15">
      <c r="C625" s="622"/>
      <c r="D625" s="622"/>
      <c r="E625" s="621"/>
    </row>
    <row r="626" spans="3:5" ht="15">
      <c r="C626" s="622"/>
      <c r="D626" s="622"/>
      <c r="E626" s="621"/>
    </row>
    <row r="627" spans="3:5" ht="15">
      <c r="C627" s="622"/>
      <c r="D627" s="622"/>
      <c r="E627" s="621"/>
    </row>
    <row r="628" spans="3:5" ht="15">
      <c r="C628" s="622"/>
      <c r="D628" s="622"/>
      <c r="E628" s="621"/>
    </row>
    <row r="629" spans="3:5" ht="15">
      <c r="C629" s="622"/>
      <c r="D629" s="622"/>
      <c r="E629" s="621"/>
    </row>
    <row r="630" spans="3:5" ht="15">
      <c r="C630" s="622"/>
      <c r="D630" s="622"/>
      <c r="E630" s="621"/>
    </row>
    <row r="631" spans="3:5" ht="15">
      <c r="C631" s="622"/>
      <c r="D631" s="622"/>
      <c r="E631" s="621"/>
    </row>
    <row r="632" spans="3:5" ht="15">
      <c r="C632" s="622"/>
      <c r="D632" s="622"/>
      <c r="E632" s="621"/>
    </row>
    <row r="633" spans="3:5" ht="15">
      <c r="C633" s="622"/>
      <c r="D633" s="622"/>
      <c r="E633" s="621"/>
    </row>
    <row r="634" spans="3:5" ht="15">
      <c r="C634" s="622"/>
      <c r="D634" s="622"/>
      <c r="E634" s="621"/>
    </row>
    <row r="635" spans="3:5" ht="15">
      <c r="C635" s="622"/>
      <c r="D635" s="622"/>
      <c r="E635" s="621"/>
    </row>
    <row r="636" spans="3:5" ht="15">
      <c r="C636" s="622"/>
      <c r="D636" s="622"/>
      <c r="E636" s="621"/>
    </row>
    <row r="637" spans="3:5" ht="15">
      <c r="C637" s="622"/>
      <c r="D637" s="622"/>
      <c r="E637" s="621"/>
    </row>
    <row r="638" spans="3:5" ht="15">
      <c r="C638" s="622"/>
      <c r="D638" s="622"/>
      <c r="E638" s="621"/>
    </row>
    <row r="639" spans="3:5" ht="15">
      <c r="C639" s="622"/>
      <c r="D639" s="622"/>
      <c r="E639" s="621"/>
    </row>
    <row r="640" spans="3:5" ht="15">
      <c r="C640" s="622"/>
      <c r="D640" s="622"/>
      <c r="E640" s="621"/>
    </row>
    <row r="641" spans="3:5" ht="15">
      <c r="C641" s="622"/>
      <c r="D641" s="622"/>
      <c r="E641" s="621"/>
    </row>
    <row r="642" spans="3:5" ht="15">
      <c r="C642" s="622"/>
      <c r="D642" s="622"/>
      <c r="E642" s="621"/>
    </row>
    <row r="643" spans="3:5" ht="15">
      <c r="C643" s="622"/>
      <c r="D643" s="622"/>
      <c r="E643" s="621"/>
    </row>
    <row r="644" spans="3:5" ht="15">
      <c r="C644" s="622"/>
      <c r="D644" s="622"/>
      <c r="E644" s="621"/>
    </row>
    <row r="645" spans="3:5" ht="15">
      <c r="C645" s="622"/>
      <c r="D645" s="622"/>
      <c r="E645" s="621"/>
    </row>
    <row r="646" spans="3:5" ht="15">
      <c r="C646" s="622"/>
      <c r="D646" s="622"/>
      <c r="E646" s="621"/>
    </row>
    <row r="647" spans="3:5" ht="15">
      <c r="C647" s="622"/>
      <c r="D647" s="622"/>
      <c r="E647" s="621"/>
    </row>
    <row r="648" spans="3:5" ht="15">
      <c r="C648" s="622"/>
      <c r="D648" s="622"/>
      <c r="E648" s="621"/>
    </row>
    <row r="649" spans="3:5" ht="15">
      <c r="C649" s="622"/>
      <c r="D649" s="622"/>
      <c r="E649" s="621"/>
    </row>
    <row r="650" spans="3:5" ht="15">
      <c r="C650" s="622"/>
      <c r="D650" s="622"/>
      <c r="E650" s="621"/>
    </row>
    <row r="651" spans="3:5" ht="15">
      <c r="C651" s="622"/>
      <c r="D651" s="622"/>
      <c r="E651" s="621"/>
    </row>
    <row r="652" spans="3:5" ht="15">
      <c r="C652" s="622"/>
      <c r="D652" s="622"/>
      <c r="E652" s="621"/>
    </row>
    <row r="653" spans="3:5" ht="15">
      <c r="C653" s="622"/>
      <c r="D653" s="622"/>
      <c r="E653" s="621"/>
    </row>
    <row r="654" spans="3:5" ht="15">
      <c r="C654" s="622"/>
      <c r="D654" s="622"/>
      <c r="E654" s="621"/>
    </row>
    <row r="655" spans="3:5" ht="15">
      <c r="C655" s="622"/>
      <c r="D655" s="622"/>
      <c r="E655" s="621"/>
    </row>
    <row r="656" spans="3:5" ht="15">
      <c r="C656" s="622"/>
      <c r="D656" s="622"/>
      <c r="E656" s="621"/>
    </row>
    <row r="657" spans="3:5" ht="15">
      <c r="C657" s="622"/>
      <c r="D657" s="622"/>
      <c r="E657" s="621"/>
    </row>
    <row r="658" spans="3:5" ht="15">
      <c r="C658" s="622"/>
      <c r="D658" s="622"/>
      <c r="E658" s="621"/>
    </row>
    <row r="659" spans="3:5" ht="15">
      <c r="C659" s="622"/>
      <c r="D659" s="622"/>
      <c r="E659" s="621"/>
    </row>
    <row r="660" spans="3:5" ht="15">
      <c r="C660" s="622"/>
      <c r="D660" s="622"/>
      <c r="E660" s="621"/>
    </row>
    <row r="661" spans="3:5" ht="15">
      <c r="C661" s="622"/>
      <c r="D661" s="622"/>
      <c r="E661" s="621"/>
    </row>
    <row r="662" spans="3:5" ht="15">
      <c r="C662" s="622"/>
      <c r="D662" s="622"/>
      <c r="E662" s="621"/>
    </row>
    <row r="663" spans="3:5" ht="15">
      <c r="C663" s="622"/>
      <c r="D663" s="622"/>
      <c r="E663" s="621"/>
    </row>
    <row r="664" spans="3:5" ht="15">
      <c r="C664" s="622"/>
      <c r="D664" s="622"/>
      <c r="E664" s="621"/>
    </row>
    <row r="665" spans="3:5" ht="15">
      <c r="C665" s="622"/>
      <c r="D665" s="622"/>
      <c r="E665" s="621"/>
    </row>
    <row r="666" spans="3:5" ht="15">
      <c r="C666" s="622"/>
      <c r="D666" s="622"/>
      <c r="E666" s="621"/>
    </row>
    <row r="667" spans="3:5" ht="15">
      <c r="C667" s="622"/>
      <c r="D667" s="622"/>
      <c r="E667" s="621"/>
    </row>
    <row r="668" spans="3:5" ht="15">
      <c r="C668" s="622"/>
      <c r="D668" s="622"/>
      <c r="E668" s="621"/>
    </row>
    <row r="669" spans="3:5" ht="15">
      <c r="C669" s="622"/>
      <c r="D669" s="622"/>
      <c r="E669" s="621"/>
    </row>
    <row r="670" spans="3:5" ht="15">
      <c r="C670" s="622"/>
      <c r="D670" s="622"/>
      <c r="E670" s="621"/>
    </row>
    <row r="671" spans="3:5" ht="15">
      <c r="C671" s="622"/>
      <c r="D671" s="622"/>
      <c r="E671" s="621"/>
    </row>
    <row r="672" spans="3:5" ht="15">
      <c r="C672" s="622"/>
      <c r="D672" s="622"/>
      <c r="E672" s="621"/>
    </row>
    <row r="673" spans="3:5" ht="15">
      <c r="C673" s="622"/>
      <c r="D673" s="622"/>
      <c r="E673" s="621"/>
    </row>
    <row r="674" spans="3:5" ht="15">
      <c r="C674" s="622"/>
      <c r="D674" s="622"/>
      <c r="E674" s="621"/>
    </row>
    <row r="675" spans="3:5" ht="15">
      <c r="C675" s="622"/>
      <c r="D675" s="622"/>
      <c r="E675" s="621"/>
    </row>
    <row r="676" spans="3:5" ht="15">
      <c r="C676" s="622"/>
      <c r="D676" s="622"/>
      <c r="E676" s="621"/>
    </row>
    <row r="677" spans="3:5" ht="15">
      <c r="C677" s="622"/>
      <c r="D677" s="622"/>
      <c r="E677" s="621"/>
    </row>
    <row r="678" spans="3:5" ht="15">
      <c r="C678" s="622"/>
      <c r="D678" s="622"/>
      <c r="E678" s="621"/>
    </row>
    <row r="679" spans="3:5" ht="15">
      <c r="C679" s="622"/>
      <c r="D679" s="622"/>
      <c r="E679" s="621"/>
    </row>
    <row r="680" spans="3:5" ht="15">
      <c r="C680" s="622"/>
      <c r="D680" s="622"/>
      <c r="E680" s="621"/>
    </row>
    <row r="681" spans="3:5" ht="15">
      <c r="C681" s="622"/>
      <c r="D681" s="622"/>
      <c r="E681" s="621"/>
    </row>
    <row r="682" spans="3:5" ht="15">
      <c r="C682" s="622"/>
      <c r="D682" s="622"/>
      <c r="E682" s="621"/>
    </row>
    <row r="683" spans="3:5" ht="15">
      <c r="C683" s="622"/>
      <c r="D683" s="622"/>
      <c r="E683" s="621"/>
    </row>
    <row r="684" spans="3:5" ht="15">
      <c r="C684" s="622"/>
      <c r="D684" s="622"/>
      <c r="E684" s="621"/>
    </row>
    <row r="685" spans="3:5" ht="15">
      <c r="C685" s="622"/>
      <c r="D685" s="622"/>
      <c r="E685" s="621"/>
    </row>
    <row r="686" spans="3:5" ht="15">
      <c r="C686" s="622"/>
      <c r="D686" s="622"/>
      <c r="E686" s="621"/>
    </row>
    <row r="687" spans="3:5" ht="15">
      <c r="C687" s="622"/>
      <c r="D687" s="622"/>
      <c r="E687" s="621"/>
    </row>
    <row r="688" spans="3:5" ht="15">
      <c r="C688" s="622"/>
      <c r="D688" s="622"/>
      <c r="E688" s="621"/>
    </row>
    <row r="689" spans="3:5" ht="15">
      <c r="C689" s="622"/>
      <c r="D689" s="622"/>
      <c r="E689" s="621"/>
    </row>
    <row r="690" spans="3:5" ht="15">
      <c r="C690" s="622"/>
      <c r="D690" s="622"/>
      <c r="E690" s="621"/>
    </row>
    <row r="691" spans="3:5" ht="15">
      <c r="C691" s="622"/>
      <c r="D691" s="622"/>
      <c r="E691" s="621"/>
    </row>
    <row r="692" spans="3:5" ht="15">
      <c r="C692" s="622"/>
      <c r="D692" s="622"/>
      <c r="E692" s="621"/>
    </row>
    <row r="693" spans="3:5" ht="15">
      <c r="C693" s="622"/>
      <c r="D693" s="622"/>
      <c r="E693" s="621"/>
    </row>
    <row r="694" spans="3:5" ht="15">
      <c r="C694" s="622"/>
      <c r="D694" s="622"/>
      <c r="E694" s="621"/>
    </row>
    <row r="695" spans="3:5" ht="15">
      <c r="C695" s="622"/>
      <c r="D695" s="622"/>
      <c r="E695" s="621"/>
    </row>
    <row r="696" spans="3:5" ht="15">
      <c r="C696" s="622"/>
      <c r="D696" s="622"/>
      <c r="E696" s="621"/>
    </row>
    <row r="697" spans="3:5" ht="15">
      <c r="C697" s="622"/>
      <c r="D697" s="622"/>
      <c r="E697" s="621"/>
    </row>
    <row r="698" spans="3:5" ht="15">
      <c r="C698" s="622"/>
      <c r="D698" s="622"/>
      <c r="E698" s="621"/>
    </row>
    <row r="699" spans="3:5" ht="15">
      <c r="C699" s="622"/>
      <c r="D699" s="622"/>
      <c r="E699" s="621"/>
    </row>
    <row r="700" spans="3:5" ht="15">
      <c r="C700" s="622"/>
      <c r="D700" s="622"/>
      <c r="E700" s="621"/>
    </row>
    <row r="701" spans="3:5" ht="15">
      <c r="C701" s="622"/>
      <c r="D701" s="622"/>
      <c r="E701" s="621"/>
    </row>
    <row r="702" spans="3:5" ht="15">
      <c r="C702" s="622"/>
      <c r="D702" s="622"/>
      <c r="E702" s="621"/>
    </row>
    <row r="703" spans="3:5" ht="15">
      <c r="C703" s="622"/>
      <c r="D703" s="622"/>
      <c r="E703" s="621"/>
    </row>
    <row r="704" spans="3:5" ht="15">
      <c r="C704" s="622"/>
      <c r="D704" s="622"/>
      <c r="E704" s="621"/>
    </row>
    <row r="705" spans="3:5" ht="15">
      <c r="C705" s="622"/>
      <c r="D705" s="622"/>
      <c r="E705" s="621"/>
    </row>
    <row r="706" spans="3:5" ht="15">
      <c r="C706" s="622"/>
      <c r="D706" s="622"/>
      <c r="E706" s="621"/>
    </row>
    <row r="707" spans="3:5" ht="15">
      <c r="C707" s="622"/>
      <c r="D707" s="622"/>
      <c r="E707" s="621"/>
    </row>
    <row r="708" spans="3:5" ht="15">
      <c r="C708" s="622"/>
      <c r="D708" s="622"/>
      <c r="E708" s="621"/>
    </row>
    <row r="709" spans="3:5" ht="15">
      <c r="C709" s="622"/>
      <c r="D709" s="622"/>
      <c r="E709" s="621"/>
    </row>
    <row r="710" spans="3:5" ht="15">
      <c r="C710" s="622"/>
      <c r="D710" s="622"/>
      <c r="E710" s="621"/>
    </row>
    <row r="711" spans="3:5" ht="15">
      <c r="C711" s="622"/>
      <c r="D711" s="622"/>
      <c r="E711" s="621"/>
    </row>
    <row r="712" spans="3:5" ht="15">
      <c r="C712" s="622"/>
      <c r="D712" s="622"/>
      <c r="E712" s="621"/>
    </row>
    <row r="713" spans="3:5" ht="15">
      <c r="C713" s="622"/>
      <c r="D713" s="622"/>
      <c r="E713" s="621"/>
    </row>
    <row r="714" spans="3:5" ht="15">
      <c r="C714" s="622"/>
      <c r="D714" s="622"/>
      <c r="E714" s="621"/>
    </row>
    <row r="715" spans="3:5" ht="15">
      <c r="C715" s="622"/>
      <c r="D715" s="622"/>
      <c r="E715" s="621"/>
    </row>
    <row r="716" spans="3:5" ht="15">
      <c r="C716" s="622"/>
      <c r="D716" s="622"/>
      <c r="E716" s="621"/>
    </row>
    <row r="717" spans="3:5" ht="15">
      <c r="C717" s="622"/>
      <c r="D717" s="622"/>
      <c r="E717" s="621"/>
    </row>
    <row r="718" spans="3:5" ht="15">
      <c r="C718" s="622"/>
      <c r="D718" s="622"/>
      <c r="E718" s="621"/>
    </row>
    <row r="719" spans="3:5" ht="15">
      <c r="C719" s="622"/>
      <c r="D719" s="622"/>
      <c r="E719" s="621"/>
    </row>
    <row r="720" spans="3:5" ht="15">
      <c r="C720" s="622"/>
      <c r="D720" s="622"/>
      <c r="E720" s="621"/>
    </row>
    <row r="721" spans="3:5" ht="15">
      <c r="C721" s="622"/>
      <c r="D721" s="622"/>
      <c r="E721" s="621"/>
    </row>
    <row r="722" spans="3:5" ht="15">
      <c r="C722" s="622"/>
      <c r="D722" s="622"/>
      <c r="E722" s="621"/>
    </row>
    <row r="723" spans="3:5" ht="15">
      <c r="C723" s="622"/>
      <c r="D723" s="622"/>
      <c r="E723" s="621"/>
    </row>
    <row r="724" spans="3:5" ht="15">
      <c r="C724" s="622"/>
      <c r="D724" s="622"/>
      <c r="E724" s="621"/>
    </row>
    <row r="725" spans="3:5" ht="15">
      <c r="C725" s="622"/>
      <c r="D725" s="622"/>
      <c r="E725" s="621"/>
    </row>
    <row r="726" spans="3:5" ht="15">
      <c r="C726" s="622"/>
      <c r="D726" s="622"/>
      <c r="E726" s="621"/>
    </row>
    <row r="727" spans="3:5" ht="15">
      <c r="C727" s="622"/>
      <c r="D727" s="622"/>
      <c r="E727" s="621"/>
    </row>
    <row r="728" spans="3:5" ht="15">
      <c r="C728" s="622"/>
      <c r="D728" s="622"/>
      <c r="E728" s="621"/>
    </row>
    <row r="729" spans="3:5" ht="15">
      <c r="C729" s="622"/>
      <c r="D729" s="622"/>
      <c r="E729" s="621"/>
    </row>
    <row r="730" spans="3:5" ht="15">
      <c r="C730" s="622"/>
      <c r="D730" s="622"/>
      <c r="E730" s="621"/>
    </row>
    <row r="731" spans="3:5" ht="15">
      <c r="C731" s="622"/>
      <c r="D731" s="622"/>
      <c r="E731" s="621"/>
    </row>
    <row r="732" spans="3:5" ht="15">
      <c r="C732" s="622"/>
      <c r="D732" s="622"/>
      <c r="E732" s="621"/>
    </row>
    <row r="733" spans="3:5" ht="15">
      <c r="C733" s="622"/>
      <c r="D733" s="622"/>
      <c r="E733" s="621"/>
    </row>
    <row r="734" spans="3:5" ht="15">
      <c r="C734" s="622"/>
      <c r="D734" s="622"/>
      <c r="E734" s="621"/>
    </row>
    <row r="735" spans="3:5" ht="15">
      <c r="C735" s="622"/>
      <c r="D735" s="622"/>
      <c r="E735" s="621"/>
    </row>
    <row r="736" spans="3:5" ht="15">
      <c r="C736" s="622"/>
      <c r="D736" s="622"/>
      <c r="E736" s="621"/>
    </row>
    <row r="737" spans="3:5" ht="15">
      <c r="C737" s="622"/>
      <c r="D737" s="622"/>
      <c r="E737" s="621"/>
    </row>
    <row r="738" spans="3:5" ht="15">
      <c r="C738" s="622"/>
      <c r="D738" s="622"/>
      <c r="E738" s="621"/>
    </row>
    <row r="739" spans="3:5" ht="15">
      <c r="C739" s="622"/>
      <c r="D739" s="622"/>
      <c r="E739" s="621"/>
    </row>
    <row r="740" spans="3:5" ht="15">
      <c r="C740" s="622"/>
      <c r="D740" s="622"/>
      <c r="E740" s="621"/>
    </row>
    <row r="741" spans="3:5" ht="15">
      <c r="C741" s="622"/>
      <c r="D741" s="622"/>
      <c r="E741" s="621"/>
    </row>
    <row r="742" spans="3:5" ht="15">
      <c r="C742" s="622"/>
      <c r="D742" s="622"/>
      <c r="E742" s="621"/>
    </row>
    <row r="743" spans="3:5" ht="15">
      <c r="C743" s="622"/>
      <c r="D743" s="622"/>
      <c r="E743" s="621"/>
    </row>
    <row r="744" spans="3:5" ht="15">
      <c r="C744" s="622"/>
      <c r="D744" s="622"/>
      <c r="E744" s="621"/>
    </row>
    <row r="745" spans="3:5" ht="15">
      <c r="C745" s="622"/>
      <c r="D745" s="622"/>
      <c r="E745" s="621"/>
    </row>
    <row r="746" spans="3:5" ht="15">
      <c r="C746" s="622"/>
      <c r="D746" s="622"/>
      <c r="E746" s="621"/>
    </row>
    <row r="747" spans="3:5" ht="15">
      <c r="C747" s="622"/>
      <c r="D747" s="622"/>
      <c r="E747" s="621"/>
    </row>
    <row r="748" spans="3:5" ht="15">
      <c r="C748" s="622"/>
      <c r="D748" s="622"/>
      <c r="E748" s="621"/>
    </row>
    <row r="749" spans="3:5" ht="15">
      <c r="C749" s="622"/>
      <c r="D749" s="622"/>
      <c r="E749" s="621"/>
    </row>
    <row r="750" spans="3:5" ht="15">
      <c r="C750" s="622"/>
      <c r="D750" s="622"/>
      <c r="E750" s="621"/>
    </row>
    <row r="751" spans="3:5" ht="15">
      <c r="C751" s="622"/>
      <c r="D751" s="622"/>
      <c r="E751" s="621"/>
    </row>
    <row r="752" spans="3:5" ht="15">
      <c r="C752" s="622"/>
      <c r="D752" s="622"/>
      <c r="E752" s="621"/>
    </row>
    <row r="753" spans="3:5" ht="15">
      <c r="C753" s="622"/>
      <c r="D753" s="622"/>
      <c r="E753" s="621"/>
    </row>
    <row r="754" spans="3:5" ht="15">
      <c r="C754" s="622"/>
      <c r="D754" s="622"/>
      <c r="E754" s="621"/>
    </row>
    <row r="755" spans="3:5" ht="15">
      <c r="C755" s="622"/>
      <c r="D755" s="622"/>
      <c r="E755" s="621"/>
    </row>
    <row r="756" spans="3:5" ht="15">
      <c r="C756" s="622"/>
      <c r="D756" s="622"/>
      <c r="E756" s="621"/>
    </row>
    <row r="757" spans="3:5" ht="15">
      <c r="C757" s="622"/>
      <c r="D757" s="622"/>
      <c r="E757" s="621"/>
    </row>
    <row r="758" spans="3:5" ht="15">
      <c r="C758" s="622"/>
      <c r="D758" s="622"/>
      <c r="E758" s="621"/>
    </row>
    <row r="759" spans="3:5" ht="15">
      <c r="C759" s="622"/>
      <c r="D759" s="622"/>
      <c r="E759" s="621"/>
    </row>
    <row r="760" spans="3:5" ht="15">
      <c r="C760" s="622"/>
      <c r="D760" s="622"/>
      <c r="E760" s="621"/>
    </row>
    <row r="761" spans="3:5" ht="15">
      <c r="C761" s="622"/>
      <c r="D761" s="622"/>
      <c r="E761" s="621"/>
    </row>
    <row r="762" spans="3:5" ht="15">
      <c r="C762" s="622"/>
      <c r="D762" s="622"/>
      <c r="E762" s="621"/>
    </row>
    <row r="763" spans="3:5" ht="15">
      <c r="C763" s="622"/>
      <c r="D763" s="622"/>
      <c r="E763" s="621"/>
    </row>
    <row r="764" spans="3:5" ht="15">
      <c r="C764" s="622"/>
      <c r="D764" s="622"/>
      <c r="E764" s="621"/>
    </row>
    <row r="765" spans="3:5" ht="15">
      <c r="C765" s="622"/>
      <c r="D765" s="622"/>
      <c r="E765" s="621"/>
    </row>
    <row r="766" spans="3:5" ht="15">
      <c r="C766" s="622"/>
      <c r="D766" s="622"/>
      <c r="E766" s="621"/>
    </row>
    <row r="767" spans="3:5" ht="15">
      <c r="C767" s="622"/>
      <c r="D767" s="622"/>
      <c r="E767" s="621"/>
    </row>
    <row r="768" spans="3:5" ht="15">
      <c r="C768" s="622"/>
      <c r="D768" s="622"/>
      <c r="E768" s="621"/>
    </row>
    <row r="769" spans="3:5" ht="15">
      <c r="C769" s="622"/>
      <c r="D769" s="622"/>
      <c r="E769" s="621"/>
    </row>
    <row r="770" spans="3:5" ht="15">
      <c r="C770" s="622"/>
      <c r="D770" s="622"/>
      <c r="E770" s="621"/>
    </row>
    <row r="771" spans="3:5" ht="15">
      <c r="C771" s="622"/>
      <c r="D771" s="622"/>
      <c r="E771" s="621"/>
    </row>
    <row r="772" spans="3:5" ht="15">
      <c r="C772" s="622"/>
      <c r="D772" s="622"/>
      <c r="E772" s="621"/>
    </row>
    <row r="773" spans="3:5" ht="15">
      <c r="C773" s="622"/>
      <c r="D773" s="622"/>
      <c r="E773" s="621"/>
    </row>
    <row r="774" spans="3:5" ht="15">
      <c r="C774" s="622"/>
      <c r="D774" s="622"/>
      <c r="E774" s="621"/>
    </row>
    <row r="775" spans="3:5" ht="15">
      <c r="C775" s="622"/>
      <c r="D775" s="622"/>
      <c r="E775" s="621"/>
    </row>
    <row r="776" spans="3:5" ht="15">
      <c r="C776" s="622"/>
      <c r="D776" s="622"/>
      <c r="E776" s="621"/>
    </row>
    <row r="777" spans="3:5" ht="15">
      <c r="C777" s="622"/>
      <c r="D777" s="622"/>
      <c r="E777" s="621"/>
    </row>
    <row r="778" spans="3:5" ht="15">
      <c r="C778" s="622"/>
      <c r="D778" s="622"/>
      <c r="E778" s="621"/>
    </row>
    <row r="779" spans="3:5" ht="15">
      <c r="C779" s="622"/>
      <c r="D779" s="622"/>
      <c r="E779" s="621"/>
    </row>
    <row r="780" spans="3:5" ht="15">
      <c r="C780" s="622"/>
      <c r="D780" s="622"/>
      <c r="E780" s="621"/>
    </row>
    <row r="781" spans="3:5" ht="15">
      <c r="C781" s="622"/>
      <c r="D781" s="622"/>
      <c r="E781" s="621"/>
    </row>
    <row r="782" spans="3:5" ht="15">
      <c r="C782" s="622"/>
      <c r="D782" s="622"/>
      <c r="E782" s="621"/>
    </row>
    <row r="783" spans="3:5" ht="15">
      <c r="C783" s="622"/>
      <c r="D783" s="622"/>
      <c r="E783" s="621"/>
    </row>
    <row r="784" spans="3:5" ht="15">
      <c r="C784" s="622"/>
      <c r="D784" s="622"/>
      <c r="E784" s="621"/>
    </row>
    <row r="785" spans="3:5" ht="15">
      <c r="C785" s="622"/>
      <c r="D785" s="622"/>
      <c r="E785" s="621"/>
    </row>
    <row r="786" spans="3:5" ht="15">
      <c r="C786" s="622"/>
      <c r="D786" s="622"/>
      <c r="E786" s="621"/>
    </row>
    <row r="787" spans="3:5" ht="15">
      <c r="C787" s="622"/>
      <c r="D787" s="622"/>
      <c r="E787" s="621"/>
    </row>
    <row r="788" spans="3:5" ht="15">
      <c r="C788" s="622"/>
      <c r="D788" s="622"/>
      <c r="E788" s="621"/>
    </row>
    <row r="789" spans="3:5" ht="15">
      <c r="C789" s="622"/>
      <c r="D789" s="622"/>
      <c r="E789" s="621"/>
    </row>
    <row r="790" spans="3:5" ht="15">
      <c r="C790" s="622"/>
      <c r="D790" s="622"/>
      <c r="E790" s="621"/>
    </row>
    <row r="791" spans="3:5" ht="15">
      <c r="C791" s="622"/>
      <c r="D791" s="622"/>
      <c r="E791" s="621"/>
    </row>
    <row r="792" spans="3:5" ht="15">
      <c r="C792" s="622"/>
      <c r="D792" s="622"/>
      <c r="E792" s="621"/>
    </row>
    <row r="793" spans="3:5" ht="15">
      <c r="C793" s="622"/>
      <c r="D793" s="622"/>
      <c r="E793" s="621"/>
    </row>
    <row r="794" spans="3:5" ht="15">
      <c r="C794" s="622"/>
      <c r="D794" s="622"/>
      <c r="E794" s="621"/>
    </row>
  </sheetData>
  <sheetProtection/>
  <mergeCells count="35">
    <mergeCell ref="A1:N1"/>
    <mergeCell ref="B26:E26"/>
    <mergeCell ref="B27:E27"/>
    <mergeCell ref="I3:K4"/>
    <mergeCell ref="G3:G4"/>
    <mergeCell ref="M3:M4"/>
    <mergeCell ref="C19:E19"/>
    <mergeCell ref="J13:K13"/>
    <mergeCell ref="I14:K14"/>
    <mergeCell ref="A15:E15"/>
    <mergeCell ref="J6:K6"/>
    <mergeCell ref="C13:E13"/>
    <mergeCell ref="C10:E10"/>
    <mergeCell ref="C11:E11"/>
    <mergeCell ref="I15:K15"/>
    <mergeCell ref="C9:E9"/>
    <mergeCell ref="B14:E14"/>
    <mergeCell ref="C8:E8"/>
    <mergeCell ref="C12:E12"/>
    <mergeCell ref="H3:H4"/>
    <mergeCell ref="C20:E20"/>
    <mergeCell ref="B28:E28"/>
    <mergeCell ref="C21:E21"/>
    <mergeCell ref="C22:E22"/>
    <mergeCell ref="C24:E24"/>
    <mergeCell ref="C25:E25"/>
    <mergeCell ref="C16:E16"/>
    <mergeCell ref="N3:N4"/>
    <mergeCell ref="C7:E7"/>
    <mergeCell ref="A3:E4"/>
    <mergeCell ref="F3:F4"/>
    <mergeCell ref="L3:L4"/>
    <mergeCell ref="B5:E5"/>
    <mergeCell ref="I5:K5"/>
    <mergeCell ref="C6:E6"/>
  </mergeCells>
  <printOptions horizontalCentered="1"/>
  <pageMargins left="0.31496062992125984" right="0.31496062992125984" top="0.7480314960629921" bottom="0.35433070866141736" header="0.31496062992125984" footer="0"/>
  <pageSetup horizontalDpi="600" verticalDpi="600" orientation="landscape" paperSize="9" scale="52" r:id="rId1"/>
  <headerFooter>
    <oddHeader xml:space="preserve">&amp;Ca 12/2020. (VII. 10.) önkormányzati rendelet 1. melléklete&amp;R&amp;"Arial,Normál"&amp;11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9"/>
  <sheetViews>
    <sheetView showZeros="0" view="pageBreakPreview" zoomScale="85" zoomScaleSheetLayoutView="85" workbookViewId="0" topLeftCell="A1">
      <selection activeCell="C119" sqref="C119"/>
    </sheetView>
  </sheetViews>
  <sheetFormatPr defaultColWidth="9.00390625" defaultRowHeight="12.75"/>
  <cols>
    <col min="1" max="1" width="33.125" style="250" customWidth="1"/>
    <col min="2" max="2" width="14.50390625" style="250" customWidth="1"/>
    <col min="3" max="3" width="11.875" style="250" bestFit="1" customWidth="1"/>
    <col min="4" max="16" width="20.875" style="250" customWidth="1"/>
    <col min="17" max="17" width="33.125" style="250" customWidth="1"/>
    <col min="18" max="18" width="15.375" style="250" customWidth="1"/>
    <col min="19" max="19" width="9.375" style="250" customWidth="1"/>
    <col min="20" max="21" width="11.625" style="250" customWidth="1"/>
    <col min="22" max="22" width="9.375" style="250" customWidth="1"/>
    <col min="23" max="23" width="12.50390625" style="250" customWidth="1"/>
    <col min="24" max="24" width="9.375" style="250" customWidth="1"/>
    <col min="25" max="25" width="13.875" style="250" customWidth="1"/>
    <col min="26" max="27" width="9.375" style="250" customWidth="1"/>
    <col min="28" max="28" width="12.875" style="250" customWidth="1"/>
    <col min="29" max="30" width="0" style="250" hidden="1" customWidth="1"/>
    <col min="31" max="16384" width="9.375" style="250" customWidth="1"/>
  </cols>
  <sheetData>
    <row r="1" spans="1:28" ht="23.25" customHeight="1">
      <c r="A1" s="758" t="s">
        <v>1095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</row>
    <row r="2" spans="1:28" ht="12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12.75" customHeight="1">
      <c r="A3" s="756" t="s">
        <v>560</v>
      </c>
      <c r="B3" s="756" t="s">
        <v>561</v>
      </c>
      <c r="C3" s="756"/>
      <c r="D3" s="756" t="s">
        <v>26</v>
      </c>
      <c r="E3" s="756"/>
      <c r="F3" s="756"/>
      <c r="G3" s="756" t="s">
        <v>453</v>
      </c>
      <c r="H3" s="756"/>
      <c r="I3" s="756" t="s">
        <v>562</v>
      </c>
      <c r="J3" s="756" t="s">
        <v>563</v>
      </c>
      <c r="K3" s="756" t="s">
        <v>564</v>
      </c>
      <c r="L3" s="761" t="s">
        <v>565</v>
      </c>
      <c r="M3" s="761"/>
      <c r="N3" s="761"/>
      <c r="O3" s="761"/>
      <c r="P3" s="756" t="s">
        <v>566</v>
      </c>
      <c r="Q3" s="757"/>
      <c r="R3" s="757"/>
      <c r="S3" s="757"/>
      <c r="T3" s="758"/>
      <c r="U3" s="758"/>
      <c r="V3" s="758"/>
      <c r="W3" s="758"/>
      <c r="X3" s="758"/>
      <c r="Y3" s="248"/>
      <c r="Z3" s="758"/>
      <c r="AA3" s="758"/>
      <c r="AB3" s="757"/>
    </row>
    <row r="4" spans="1:30" ht="72.75" customHeight="1">
      <c r="A4" s="756"/>
      <c r="B4" s="756"/>
      <c r="C4" s="756"/>
      <c r="D4" s="252" t="s">
        <v>567</v>
      </c>
      <c r="E4" s="252" t="s">
        <v>142</v>
      </c>
      <c r="F4" s="252" t="s">
        <v>568</v>
      </c>
      <c r="G4" s="252" t="s">
        <v>569</v>
      </c>
      <c r="H4" s="252" t="s">
        <v>570</v>
      </c>
      <c r="I4" s="756"/>
      <c r="J4" s="756"/>
      <c r="K4" s="756"/>
      <c r="L4" s="252" t="s">
        <v>1096</v>
      </c>
      <c r="M4" s="252" t="s">
        <v>571</v>
      </c>
      <c r="N4" s="252" t="s">
        <v>1097</v>
      </c>
      <c r="O4" s="252" t="s">
        <v>572</v>
      </c>
      <c r="P4" s="756"/>
      <c r="Q4" s="757"/>
      <c r="R4" s="757"/>
      <c r="S4" s="757"/>
      <c r="T4" s="251"/>
      <c r="U4" s="251"/>
      <c r="V4" s="251"/>
      <c r="W4" s="251"/>
      <c r="X4" s="251"/>
      <c r="Y4" s="251"/>
      <c r="Z4" s="251"/>
      <c r="AA4" s="251"/>
      <c r="AB4" s="757"/>
      <c r="AD4" s="253"/>
    </row>
    <row r="5" spans="1:30" ht="12.75">
      <c r="A5" s="373" t="s">
        <v>997</v>
      </c>
      <c r="B5" s="373" t="s">
        <v>403</v>
      </c>
      <c r="C5" s="374"/>
      <c r="D5" s="261">
        <f>'10.mell'!F10</f>
        <v>0</v>
      </c>
      <c r="E5" s="261">
        <f>+'10.mell'!F13</f>
        <v>0</v>
      </c>
      <c r="F5" s="261">
        <f>'10.mell'!F14</f>
        <v>0</v>
      </c>
      <c r="G5" s="261">
        <f>+'10.mell'!F23</f>
        <v>0</v>
      </c>
      <c r="H5" s="261">
        <f>+'10.mell'!F35</f>
        <v>0</v>
      </c>
      <c r="I5" s="261">
        <f>+'10.mell'!F15</f>
        <v>0</v>
      </c>
      <c r="J5" s="261">
        <f>'10.mell'!F38</f>
        <v>0</v>
      </c>
      <c r="K5" s="375">
        <f>J5/P5</f>
        <v>0</v>
      </c>
      <c r="L5" s="261">
        <v>75142730</v>
      </c>
      <c r="M5" s="375">
        <f>L5/P5</f>
        <v>0.9020682290063222</v>
      </c>
      <c r="N5" s="261">
        <f>+'10.mell'!$F$40-L5</f>
        <v>8157765</v>
      </c>
      <c r="O5" s="375">
        <f>N5/P5</f>
        <v>0.09793177099367777</v>
      </c>
      <c r="P5" s="265">
        <f>E5+L5+N5+J5</f>
        <v>83300495</v>
      </c>
      <c r="Q5" s="369"/>
      <c r="R5" s="369"/>
      <c r="S5" s="251"/>
      <c r="T5" s="251"/>
      <c r="U5" s="251"/>
      <c r="V5" s="251"/>
      <c r="W5" s="251"/>
      <c r="X5" s="251"/>
      <c r="Y5" s="251"/>
      <c r="Z5" s="251"/>
      <c r="AA5" s="251"/>
      <c r="AB5" s="251"/>
      <c r="AD5" s="368"/>
    </row>
    <row r="6" spans="1:30" ht="33" customHeight="1">
      <c r="A6" s="373" t="s">
        <v>998</v>
      </c>
      <c r="B6" s="373" t="s">
        <v>403</v>
      </c>
      <c r="C6" s="374"/>
      <c r="D6" s="261">
        <f>'11.mell'!F10</f>
        <v>1279090</v>
      </c>
      <c r="E6" s="261">
        <f>'11.mell'!F13</f>
        <v>0</v>
      </c>
      <c r="F6" s="261">
        <f>'11.mell'!F14</f>
        <v>0</v>
      </c>
      <c r="G6" s="261">
        <f>+'11.mell'!F23</f>
        <v>0</v>
      </c>
      <c r="H6" s="261">
        <f>+'11.mell'!F35</f>
        <v>0</v>
      </c>
      <c r="I6" s="261">
        <f>+'11.mell'!F15</f>
        <v>0</v>
      </c>
      <c r="J6" s="261">
        <f>'11.mell'!F38</f>
        <v>4562534</v>
      </c>
      <c r="K6" s="376">
        <f>(E6+J6)/P6</f>
        <v>0.34694667151919456</v>
      </c>
      <c r="L6" s="261">
        <v>4060474</v>
      </c>
      <c r="M6" s="376">
        <f>L6/P6</f>
        <v>0.30876875418138916</v>
      </c>
      <c r="N6" s="261">
        <f>+'11.mell'!$F$40-L6</f>
        <v>4527526</v>
      </c>
      <c r="O6" s="376">
        <f>N6/P6</f>
        <v>0.3442845742994163</v>
      </c>
      <c r="P6" s="265">
        <f>E6+L6+N6+J6</f>
        <v>13150534</v>
      </c>
      <c r="Q6" s="370"/>
      <c r="R6" s="369"/>
      <c r="S6" s="255"/>
      <c r="T6" s="256"/>
      <c r="U6" s="256"/>
      <c r="V6" s="256"/>
      <c r="W6" s="256"/>
      <c r="X6" s="256"/>
      <c r="Y6" s="256"/>
      <c r="Z6" s="256"/>
      <c r="AA6" s="256"/>
      <c r="AB6" s="257"/>
      <c r="AD6" s="258"/>
    </row>
    <row r="7" spans="1:30" ht="25.5">
      <c r="A7" s="373" t="s">
        <v>1049</v>
      </c>
      <c r="B7" s="373" t="s">
        <v>403</v>
      </c>
      <c r="C7" s="374"/>
      <c r="D7" s="261">
        <f>'12.mell'!F10</f>
        <v>2027629</v>
      </c>
      <c r="E7" s="261">
        <f>'12.mell'!F13</f>
        <v>12008005</v>
      </c>
      <c r="F7" s="261">
        <f>'12.mell'!F14</f>
        <v>3730427</v>
      </c>
      <c r="G7" s="261">
        <f>+'12.mell'!F23</f>
        <v>0</v>
      </c>
      <c r="H7" s="261">
        <f>+'12.mell'!F35</f>
        <v>0</v>
      </c>
      <c r="I7" s="261">
        <f>+'12.mell'!F15</f>
        <v>0</v>
      </c>
      <c r="J7" s="261">
        <f>'12.mell'!F38</f>
        <v>1522065</v>
      </c>
      <c r="K7" s="376">
        <f>(D7+E7+F7+J7)/P7</f>
        <v>0.36865448909404896</v>
      </c>
      <c r="L7" s="261">
        <v>27917786</v>
      </c>
      <c r="M7" s="376">
        <f>L7/P7</f>
        <v>0.5335934208676879</v>
      </c>
      <c r="N7" s="261">
        <f>+'12.mell'!$F$40-L7</f>
        <v>5114422</v>
      </c>
      <c r="O7" s="376">
        <f>N7/P7</f>
        <v>0.09775209003826313</v>
      </c>
      <c r="P7" s="265">
        <f>D7+E7+F7+L7+N7+J7</f>
        <v>52320334</v>
      </c>
      <c r="Q7" s="258"/>
      <c r="R7" s="369"/>
      <c r="S7" s="255"/>
      <c r="T7" s="256"/>
      <c r="U7" s="256"/>
      <c r="V7" s="256"/>
      <c r="W7" s="256"/>
      <c r="X7" s="256"/>
      <c r="Y7" s="256"/>
      <c r="Z7" s="256"/>
      <c r="AA7" s="256"/>
      <c r="AB7" s="257"/>
      <c r="AD7" s="258"/>
    </row>
    <row r="8" spans="1:30" ht="25.5">
      <c r="A8" s="373" t="s">
        <v>1048</v>
      </c>
      <c r="B8" s="373" t="s">
        <v>403</v>
      </c>
      <c r="C8" s="374"/>
      <c r="D8" s="261">
        <f>'13.mell'!F10</f>
        <v>0</v>
      </c>
      <c r="E8" s="261">
        <f>'13.mell'!F13</f>
        <v>0</v>
      </c>
      <c r="F8" s="261">
        <f>'13.mell'!F14</f>
        <v>0</v>
      </c>
      <c r="G8" s="261">
        <f>+'13.mell'!F23</f>
        <v>0</v>
      </c>
      <c r="H8" s="261">
        <f>+'13.mell'!F35</f>
        <v>0</v>
      </c>
      <c r="I8" s="261">
        <f>+'13.mell'!F15</f>
        <v>0</v>
      </c>
      <c r="J8" s="261">
        <f>'13.mell'!F38</f>
        <v>539109</v>
      </c>
      <c r="K8" s="376">
        <f>(D8+G8+J8)/P8</f>
        <v>0.03915351385481806</v>
      </c>
      <c r="L8" s="261">
        <f>13719837-489837</f>
        <v>13230000</v>
      </c>
      <c r="M8" s="376">
        <f>L8/P8</f>
        <v>0.960846486145182</v>
      </c>
      <c r="N8" s="261">
        <f>+'13.mell'!$F$40-L8</f>
        <v>0</v>
      </c>
      <c r="O8" s="376">
        <f>N8/P8</f>
        <v>0</v>
      </c>
      <c r="P8" s="265">
        <f>D8+G8+L8+N8+J8</f>
        <v>13769109</v>
      </c>
      <c r="Q8" s="370"/>
      <c r="R8" s="369"/>
      <c r="S8" s="255"/>
      <c r="T8" s="256"/>
      <c r="U8" s="256"/>
      <c r="V8" s="256"/>
      <c r="W8" s="256"/>
      <c r="X8" s="256"/>
      <c r="Y8" s="256"/>
      <c r="Z8" s="256"/>
      <c r="AA8" s="256"/>
      <c r="AB8" s="257"/>
      <c r="AD8" s="258"/>
    </row>
    <row r="9" spans="1:30" ht="26.25" customHeight="1">
      <c r="A9" s="377" t="s">
        <v>573</v>
      </c>
      <c r="B9" s="378"/>
      <c r="C9" s="379"/>
      <c r="D9" s="380">
        <f>F5+F6+F7+F8</f>
        <v>3730427</v>
      </c>
      <c r="E9" s="380">
        <f aca="true" t="shared" si="0" ref="E9:J9">E5+E6+E7+E8</f>
        <v>12008005</v>
      </c>
      <c r="F9" s="380">
        <f t="shared" si="0"/>
        <v>3730427</v>
      </c>
      <c r="G9" s="380">
        <f t="shared" si="0"/>
        <v>0</v>
      </c>
      <c r="H9" s="380">
        <f t="shared" si="0"/>
        <v>0</v>
      </c>
      <c r="I9" s="380">
        <f t="shared" si="0"/>
        <v>0</v>
      </c>
      <c r="J9" s="380">
        <f t="shared" si="0"/>
        <v>6623708</v>
      </c>
      <c r="K9" s="381">
        <f>(D9+E9+F9+G9+J9)/P9</f>
        <v>0.1605296618063223</v>
      </c>
      <c r="L9" s="380">
        <f>SUM(L5:L8)</f>
        <v>120350990</v>
      </c>
      <c r="M9" s="381">
        <f>L9/P9</f>
        <v>0.7404370648068501</v>
      </c>
      <c r="N9" s="380">
        <f>SUM(N5:N8)</f>
        <v>17799713</v>
      </c>
      <c r="O9" s="376">
        <f>N9/P9</f>
        <v>0.10950942113666312</v>
      </c>
      <c r="P9" s="382">
        <f>P5+P6+P7+P8</f>
        <v>162540472</v>
      </c>
      <c r="Q9" s="254"/>
      <c r="R9" s="369"/>
      <c r="S9" s="255"/>
      <c r="T9" s="256"/>
      <c r="U9" s="256"/>
      <c r="V9" s="256"/>
      <c r="W9" s="256"/>
      <c r="X9" s="256"/>
      <c r="Y9" s="256"/>
      <c r="Z9" s="256"/>
      <c r="AA9" s="256"/>
      <c r="AB9" s="257"/>
      <c r="AD9" s="258"/>
    </row>
    <row r="10" spans="1:30" ht="18" customHeight="1">
      <c r="A10" s="254"/>
      <c r="B10" s="254"/>
      <c r="C10" s="255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54"/>
      <c r="R10" s="254"/>
      <c r="S10" s="255"/>
      <c r="T10" s="256"/>
      <c r="U10" s="256"/>
      <c r="V10" s="256"/>
      <c r="W10" s="256"/>
      <c r="X10" s="256"/>
      <c r="Y10" s="256"/>
      <c r="Z10" s="256"/>
      <c r="AA10" s="256"/>
      <c r="AB10" s="257"/>
      <c r="AD10" s="258"/>
    </row>
    <row r="11" spans="1:30" ht="18" customHeight="1">
      <c r="A11" s="254"/>
      <c r="B11" s="254"/>
      <c r="C11" s="255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254"/>
      <c r="R11" s="254"/>
      <c r="S11" s="255"/>
      <c r="T11" s="256"/>
      <c r="U11" s="256"/>
      <c r="V11" s="256"/>
      <c r="W11" s="256"/>
      <c r="X11" s="256"/>
      <c r="Y11" s="256"/>
      <c r="Z11" s="256"/>
      <c r="AA11" s="256"/>
      <c r="AB11" s="257"/>
      <c r="AD11" s="258"/>
    </row>
    <row r="12" spans="1:30" ht="18" customHeight="1">
      <c r="A12" s="254"/>
      <c r="B12" s="254"/>
      <c r="C12" s="255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Q12" s="254"/>
      <c r="R12" s="254"/>
      <c r="S12" s="255"/>
      <c r="T12" s="256"/>
      <c r="U12" s="256"/>
      <c r="V12" s="256"/>
      <c r="W12" s="256"/>
      <c r="X12" s="256"/>
      <c r="Y12" s="256"/>
      <c r="Z12" s="256"/>
      <c r="AA12" s="256"/>
      <c r="AB12" s="257"/>
      <c r="AD12" s="258"/>
    </row>
    <row r="13" spans="1:30" ht="18" customHeight="1">
      <c r="A13" s="756" t="s">
        <v>560</v>
      </c>
      <c r="B13" s="756" t="s">
        <v>561</v>
      </c>
      <c r="C13" s="756"/>
      <c r="D13" s="759" t="s">
        <v>387</v>
      </c>
      <c r="E13" s="759"/>
      <c r="F13" s="759"/>
      <c r="G13" s="759"/>
      <c r="H13" s="759"/>
      <c r="I13" s="383"/>
      <c r="J13" s="759" t="s">
        <v>388</v>
      </c>
      <c r="K13" s="759"/>
      <c r="L13" s="759"/>
      <c r="M13" s="756"/>
      <c r="N13" s="760"/>
      <c r="O13" s="760"/>
      <c r="P13" s="756" t="s">
        <v>574</v>
      </c>
      <c r="Q13" s="254"/>
      <c r="R13" s="254"/>
      <c r="S13" s="255"/>
      <c r="T13" s="256"/>
      <c r="U13" s="256"/>
      <c r="V13" s="256"/>
      <c r="W13" s="256"/>
      <c r="X13" s="256"/>
      <c r="Y13" s="256"/>
      <c r="Z13" s="256"/>
      <c r="AA13" s="256"/>
      <c r="AB13" s="257"/>
      <c r="AD13" s="258"/>
    </row>
    <row r="14" spans="1:30" ht="99" customHeight="1">
      <c r="A14" s="756"/>
      <c r="B14" s="756"/>
      <c r="C14" s="756"/>
      <c r="D14" s="252" t="s">
        <v>575</v>
      </c>
      <c r="E14" s="252" t="s">
        <v>576</v>
      </c>
      <c r="F14" s="252" t="s">
        <v>577</v>
      </c>
      <c r="G14" s="252"/>
      <c r="H14" s="252" t="s">
        <v>578</v>
      </c>
      <c r="I14" s="252" t="s">
        <v>10</v>
      </c>
      <c r="J14" s="252" t="s">
        <v>397</v>
      </c>
      <c r="K14" s="252"/>
      <c r="L14" s="252" t="s">
        <v>396</v>
      </c>
      <c r="M14" s="756"/>
      <c r="N14" s="760"/>
      <c r="O14" s="760"/>
      <c r="P14" s="756"/>
      <c r="Q14" s="262"/>
      <c r="R14" s="254"/>
      <c r="S14" s="263"/>
      <c r="T14" s="257"/>
      <c r="U14" s="257"/>
      <c r="AB14" s="257"/>
      <c r="AD14" s="258"/>
    </row>
    <row r="15" spans="1:30" ht="33.75" customHeight="1">
      <c r="A15" s="373" t="s">
        <v>997</v>
      </c>
      <c r="B15" s="373" t="s">
        <v>403</v>
      </c>
      <c r="C15" s="374"/>
      <c r="D15" s="261">
        <f>'10.mell'!F46</f>
        <v>61168135</v>
      </c>
      <c r="E15" s="261">
        <f>'10.mell'!F47</f>
        <v>11636934</v>
      </c>
      <c r="F15" s="261">
        <f>'10.mell'!F48</f>
        <v>8638125</v>
      </c>
      <c r="G15" s="261"/>
      <c r="H15" s="261"/>
      <c r="I15" s="261"/>
      <c r="J15" s="261">
        <f>'10.mell'!F52</f>
        <v>414752</v>
      </c>
      <c r="K15" s="261"/>
      <c r="L15" s="261">
        <f>'10.mell'!F53</f>
        <v>446608</v>
      </c>
      <c r="M15" s="265"/>
      <c r="N15" s="261"/>
      <c r="O15" s="261"/>
      <c r="P15" s="265">
        <f>D15+E15+F15+H15+I15+J15+L15</f>
        <v>82304554</v>
      </c>
      <c r="Q15" s="254"/>
      <c r="R15" s="254"/>
      <c r="S15" s="255"/>
      <c r="T15" s="256"/>
      <c r="U15" s="256"/>
      <c r="V15" s="256"/>
      <c r="W15" s="256"/>
      <c r="X15" s="256"/>
      <c r="Y15" s="256"/>
      <c r="Z15" s="256"/>
      <c r="AA15" s="256"/>
      <c r="AB15" s="257"/>
      <c r="AD15" s="258"/>
    </row>
    <row r="16" spans="1:30" s="264" customFormat="1" ht="24.75" customHeight="1">
      <c r="A16" s="373" t="s">
        <v>998</v>
      </c>
      <c r="B16" s="373" t="s">
        <v>403</v>
      </c>
      <c r="C16" s="374"/>
      <c r="D16" s="261">
        <f>'11.mell'!F46</f>
        <v>6696926</v>
      </c>
      <c r="E16" s="261">
        <f>'11.mell'!F47</f>
        <v>1260096</v>
      </c>
      <c r="F16" s="261">
        <f>'11.mell'!F48</f>
        <v>3468830</v>
      </c>
      <c r="G16" s="261"/>
      <c r="H16" s="261"/>
      <c r="I16" s="261"/>
      <c r="J16" s="261">
        <f>'11.mell'!F52</f>
        <v>2265281</v>
      </c>
      <c r="K16" s="261"/>
      <c r="L16" s="261">
        <f>'11.mell'!F53</f>
        <v>0</v>
      </c>
      <c r="M16" s="265"/>
      <c r="N16" s="372"/>
      <c r="O16" s="372"/>
      <c r="P16" s="265">
        <f>D16+E16+F16+H16+I16+J16+L16</f>
        <v>13691133</v>
      </c>
      <c r="Q16" s="262"/>
      <c r="R16" s="254"/>
      <c r="S16" s="263"/>
      <c r="T16" s="257"/>
      <c r="U16" s="257"/>
      <c r="AB16" s="257"/>
      <c r="AD16" s="258"/>
    </row>
    <row r="17" spans="1:30" ht="37.5" customHeight="1">
      <c r="A17" s="373" t="s">
        <v>1049</v>
      </c>
      <c r="B17" s="373" t="s">
        <v>403</v>
      </c>
      <c r="C17" s="374"/>
      <c r="D17" s="261">
        <f>'12.mell'!F46</f>
        <v>13017953</v>
      </c>
      <c r="E17" s="261">
        <f>'12.mell'!F47</f>
        <v>2637980</v>
      </c>
      <c r="F17" s="261">
        <f>'12.mell'!F48</f>
        <v>35481655</v>
      </c>
      <c r="G17" s="261"/>
      <c r="H17" s="261"/>
      <c r="I17" s="261"/>
      <c r="J17" s="261">
        <f>'12.mell'!F52</f>
        <v>42890</v>
      </c>
      <c r="K17" s="261"/>
      <c r="L17" s="261">
        <f>'12.mell'!F53</f>
        <v>0</v>
      </c>
      <c r="M17" s="265"/>
      <c r="N17" s="261"/>
      <c r="O17" s="261"/>
      <c r="P17" s="265">
        <f>D17+E17+F17+H17+I17+J17+L17</f>
        <v>51180478</v>
      </c>
      <c r="Q17" s="254"/>
      <c r="R17" s="254"/>
      <c r="S17" s="255"/>
      <c r="T17" s="256"/>
      <c r="U17" s="256"/>
      <c r="V17" s="256"/>
      <c r="W17" s="256"/>
      <c r="X17" s="256"/>
      <c r="Y17" s="256"/>
      <c r="Z17" s="256"/>
      <c r="AA17" s="256"/>
      <c r="AB17" s="257"/>
      <c r="AD17" s="258"/>
    </row>
    <row r="18" spans="1:30" ht="40.5" customHeight="1">
      <c r="A18" s="373" t="s">
        <v>1048</v>
      </c>
      <c r="B18" s="373" t="s">
        <v>403</v>
      </c>
      <c r="C18" s="374"/>
      <c r="D18" s="261">
        <f>'13.mell'!F46</f>
        <v>10817285</v>
      </c>
      <c r="E18" s="261">
        <f>'13.mell'!F47</f>
        <v>1946579</v>
      </c>
      <c r="F18" s="261">
        <f>'13.mell'!F48</f>
        <v>847451</v>
      </c>
      <c r="G18" s="261"/>
      <c r="H18" s="261"/>
      <c r="I18" s="261"/>
      <c r="J18" s="261">
        <f>'13.mell'!F52</f>
        <v>27470</v>
      </c>
      <c r="K18" s="261"/>
      <c r="L18" s="261">
        <f>'13.mell'!F53</f>
        <v>0</v>
      </c>
      <c r="M18" s="265"/>
      <c r="N18" s="261"/>
      <c r="O18" s="261"/>
      <c r="P18" s="265">
        <f>D18+E18+F18+H18+I18+J18+L18</f>
        <v>13638785</v>
      </c>
      <c r="Q18" s="254"/>
      <c r="R18" s="254"/>
      <c r="S18" s="255"/>
      <c r="T18" s="256"/>
      <c r="U18" s="256"/>
      <c r="V18" s="256"/>
      <c r="W18" s="256"/>
      <c r="X18" s="256"/>
      <c r="Y18" s="256"/>
      <c r="Z18" s="256"/>
      <c r="AA18" s="256"/>
      <c r="AB18" s="257"/>
      <c r="AD18" s="258"/>
    </row>
    <row r="19" spans="1:30" ht="26.25" customHeight="1">
      <c r="A19" s="384" t="s">
        <v>579</v>
      </c>
      <c r="B19" s="373"/>
      <c r="C19" s="374"/>
      <c r="D19" s="265">
        <f aca="true" t="shared" si="1" ref="D19:P19">D15+D16+D17+D18</f>
        <v>91700299</v>
      </c>
      <c r="E19" s="265">
        <f t="shared" si="1"/>
        <v>17481589</v>
      </c>
      <c r="F19" s="265">
        <f t="shared" si="1"/>
        <v>48436061</v>
      </c>
      <c r="G19" s="265">
        <f t="shared" si="1"/>
        <v>0</v>
      </c>
      <c r="H19" s="265">
        <f t="shared" si="1"/>
        <v>0</v>
      </c>
      <c r="I19" s="265">
        <f t="shared" si="1"/>
        <v>0</v>
      </c>
      <c r="J19" s="265">
        <f t="shared" si="1"/>
        <v>2750393</v>
      </c>
      <c r="K19" s="265">
        <f t="shared" si="1"/>
        <v>0</v>
      </c>
      <c r="L19" s="265">
        <f t="shared" si="1"/>
        <v>446608</v>
      </c>
      <c r="M19" s="265">
        <f t="shared" si="1"/>
        <v>0</v>
      </c>
      <c r="N19" s="265">
        <f t="shared" si="1"/>
        <v>0</v>
      </c>
      <c r="O19" s="265">
        <f t="shared" si="1"/>
        <v>0</v>
      </c>
      <c r="P19" s="265">
        <f t="shared" si="1"/>
        <v>160814950</v>
      </c>
      <c r="Q19" s="262"/>
      <c r="R19" s="262"/>
      <c r="S19" s="263"/>
      <c r="T19" s="257"/>
      <c r="U19" s="257"/>
      <c r="AB19" s="257"/>
      <c r="AD19" s="258"/>
    </row>
    <row r="20" spans="1:30" s="264" customFormat="1" ht="30" customHeight="1">
      <c r="A20" s="262"/>
      <c r="B20" s="262"/>
      <c r="C20" s="263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2"/>
      <c r="R20" s="262"/>
      <c r="S20" s="263"/>
      <c r="T20" s="257"/>
      <c r="U20" s="257"/>
      <c r="V20" s="257"/>
      <c r="W20" s="257"/>
      <c r="X20" s="257"/>
      <c r="Y20" s="257"/>
      <c r="Z20" s="257"/>
      <c r="AA20" s="257"/>
      <c r="AB20" s="257"/>
      <c r="AD20" s="266"/>
    </row>
    <row r="21" spans="1:30" s="264" customFormat="1" ht="30" customHeight="1">
      <c r="A21" s="262"/>
      <c r="B21" s="262"/>
      <c r="C21" s="263"/>
      <c r="D21" s="257"/>
      <c r="E21" s="257"/>
      <c r="F21" s="257"/>
      <c r="N21" s="257"/>
      <c r="O21" s="257"/>
      <c r="P21" s="257"/>
      <c r="Q21" s="262"/>
      <c r="R21" s="262"/>
      <c r="S21" s="263"/>
      <c r="T21" s="257"/>
      <c r="U21" s="257"/>
      <c r="AB21" s="257"/>
      <c r="AD21" s="258"/>
    </row>
    <row r="22" spans="3:30" ht="30" customHeight="1" hidden="1">
      <c r="C22" s="263"/>
      <c r="D22" s="256"/>
      <c r="E22" s="267"/>
      <c r="F22" s="267"/>
      <c r="G22" s="267"/>
      <c r="H22" s="256"/>
      <c r="I22" s="256"/>
      <c r="J22" s="267"/>
      <c r="K22" s="267"/>
      <c r="L22" s="267"/>
      <c r="M22" s="267"/>
      <c r="N22" s="268"/>
      <c r="O22" s="268"/>
      <c r="P22" s="257"/>
      <c r="S22" s="263"/>
      <c r="T22" s="256"/>
      <c r="U22" s="256"/>
      <c r="V22" s="256"/>
      <c r="W22" s="256"/>
      <c r="X22" s="256"/>
      <c r="Y22" s="256"/>
      <c r="Z22" s="256"/>
      <c r="AA22" s="256"/>
      <c r="AB22" s="257"/>
      <c r="AD22" s="258"/>
    </row>
    <row r="23" spans="3:30" s="264" customFormat="1" ht="30" customHeight="1" hidden="1">
      <c r="C23" s="263"/>
      <c r="D23" s="256"/>
      <c r="E23" s="257"/>
      <c r="F23" s="257"/>
      <c r="G23" s="257"/>
      <c r="H23" s="256"/>
      <c r="I23" s="256"/>
      <c r="J23" s="257"/>
      <c r="K23" s="257"/>
      <c r="L23" s="257"/>
      <c r="M23" s="257"/>
      <c r="N23" s="257"/>
      <c r="O23" s="257"/>
      <c r="P23" s="257"/>
      <c r="S23" s="263"/>
      <c r="T23" s="257"/>
      <c r="U23" s="257"/>
      <c r="V23" s="257"/>
      <c r="W23" s="257"/>
      <c r="X23" s="257"/>
      <c r="Y23" s="257"/>
      <c r="Z23" s="257"/>
      <c r="AA23" s="257"/>
      <c r="AB23" s="257"/>
      <c r="AC23" s="266"/>
      <c r="AD23" s="266"/>
    </row>
    <row r="24" spans="3:30" ht="30" customHeight="1" hidden="1">
      <c r="C24" s="263"/>
      <c r="D24" s="256"/>
      <c r="E24" s="267"/>
      <c r="F24" s="267"/>
      <c r="G24" s="267"/>
      <c r="H24" s="256"/>
      <c r="I24" s="256"/>
      <c r="J24" s="267"/>
      <c r="K24" s="267"/>
      <c r="L24" s="267"/>
      <c r="M24" s="267"/>
      <c r="N24" s="268"/>
      <c r="O24" s="268"/>
      <c r="P24" s="257"/>
      <c r="S24" s="263"/>
      <c r="T24" s="256"/>
      <c r="U24" s="256"/>
      <c r="V24" s="256"/>
      <c r="W24" s="256"/>
      <c r="X24" s="256"/>
      <c r="Y24" s="256"/>
      <c r="Z24" s="256"/>
      <c r="AA24" s="256"/>
      <c r="AB24" s="257"/>
      <c r="AD24" s="258"/>
    </row>
    <row r="25" spans="3:30" ht="30" customHeight="1" hidden="1">
      <c r="C25" s="263"/>
      <c r="D25" s="256"/>
      <c r="E25" s="267"/>
      <c r="F25" s="267"/>
      <c r="G25" s="267"/>
      <c r="H25" s="256"/>
      <c r="I25" s="256"/>
      <c r="J25" s="267"/>
      <c r="K25" s="267"/>
      <c r="L25" s="267"/>
      <c r="M25" s="267"/>
      <c r="N25" s="268"/>
      <c r="O25" s="268"/>
      <c r="P25" s="257"/>
      <c r="S25" s="263"/>
      <c r="T25" s="256"/>
      <c r="U25" s="256"/>
      <c r="V25" s="256"/>
      <c r="W25" s="256"/>
      <c r="X25" s="256"/>
      <c r="Y25" s="256"/>
      <c r="Z25" s="256"/>
      <c r="AA25" s="256"/>
      <c r="AB25" s="257"/>
      <c r="AD25" s="258"/>
    </row>
    <row r="26" spans="3:30" ht="30" customHeight="1" hidden="1">
      <c r="C26" s="263"/>
      <c r="D26" s="256"/>
      <c r="E26" s="267"/>
      <c r="F26" s="267"/>
      <c r="G26" s="267"/>
      <c r="H26" s="256"/>
      <c r="I26" s="256"/>
      <c r="J26" s="267"/>
      <c r="K26" s="267"/>
      <c r="L26" s="267"/>
      <c r="M26" s="267"/>
      <c r="N26" s="268"/>
      <c r="O26" s="268"/>
      <c r="P26" s="257"/>
      <c r="S26" s="263"/>
      <c r="T26" s="256"/>
      <c r="U26" s="256"/>
      <c r="V26" s="256"/>
      <c r="W26" s="256"/>
      <c r="X26" s="256"/>
      <c r="Y26" s="256"/>
      <c r="Z26" s="256"/>
      <c r="AA26" s="256"/>
      <c r="AB26" s="257"/>
      <c r="AD26" s="258"/>
    </row>
    <row r="27" spans="3:30" ht="30" customHeight="1" hidden="1">
      <c r="C27" s="263"/>
      <c r="D27" s="256"/>
      <c r="E27" s="267"/>
      <c r="F27" s="267"/>
      <c r="G27" s="267"/>
      <c r="H27" s="256"/>
      <c r="I27" s="256"/>
      <c r="J27" s="267"/>
      <c r="K27" s="267"/>
      <c r="L27" s="267"/>
      <c r="M27" s="267"/>
      <c r="N27" s="268"/>
      <c r="O27" s="268"/>
      <c r="P27" s="257"/>
      <c r="S27" s="263"/>
      <c r="T27" s="256"/>
      <c r="U27" s="256"/>
      <c r="V27" s="256"/>
      <c r="W27" s="256"/>
      <c r="X27" s="256"/>
      <c r="Y27" s="256"/>
      <c r="Z27" s="256"/>
      <c r="AA27" s="256"/>
      <c r="AB27" s="257"/>
      <c r="AD27" s="258"/>
    </row>
    <row r="28" spans="3:28" ht="30" customHeight="1" hidden="1">
      <c r="C28" s="263"/>
      <c r="D28" s="256"/>
      <c r="E28" s="267"/>
      <c r="F28" s="267"/>
      <c r="G28" s="267"/>
      <c r="H28" s="256"/>
      <c r="I28" s="256"/>
      <c r="J28" s="267"/>
      <c r="K28" s="267"/>
      <c r="L28" s="267"/>
      <c r="M28" s="267"/>
      <c r="N28" s="268"/>
      <c r="O28" s="268"/>
      <c r="P28" s="257"/>
      <c r="S28" s="263"/>
      <c r="T28" s="256"/>
      <c r="U28" s="256"/>
      <c r="V28" s="256"/>
      <c r="W28" s="256"/>
      <c r="X28" s="256"/>
      <c r="Y28" s="256"/>
      <c r="Z28" s="256"/>
      <c r="AA28" s="256"/>
      <c r="AB28" s="257"/>
    </row>
    <row r="29" spans="3:28" ht="30" customHeight="1" hidden="1">
      <c r="C29" s="263"/>
      <c r="D29" s="256"/>
      <c r="E29" s="267"/>
      <c r="F29" s="267"/>
      <c r="G29" s="267"/>
      <c r="H29" s="256"/>
      <c r="I29" s="256"/>
      <c r="J29" s="267"/>
      <c r="K29" s="267"/>
      <c r="L29" s="267"/>
      <c r="M29" s="267"/>
      <c r="N29" s="268"/>
      <c r="O29" s="268"/>
      <c r="P29" s="257"/>
      <c r="S29" s="263"/>
      <c r="T29" s="256"/>
      <c r="U29" s="256"/>
      <c r="V29" s="256"/>
      <c r="W29" s="256"/>
      <c r="X29" s="256"/>
      <c r="Y29" s="256"/>
      <c r="Z29" s="256"/>
      <c r="AA29" s="256"/>
      <c r="AB29" s="257"/>
    </row>
    <row r="30" spans="3:28" ht="30" customHeight="1" hidden="1">
      <c r="C30" s="263"/>
      <c r="D30" s="256"/>
      <c r="E30" s="267"/>
      <c r="F30" s="267"/>
      <c r="G30" s="267"/>
      <c r="H30" s="256"/>
      <c r="I30" s="256"/>
      <c r="J30" s="267"/>
      <c r="K30" s="267"/>
      <c r="L30" s="267"/>
      <c r="M30" s="267"/>
      <c r="N30" s="268"/>
      <c r="O30" s="268"/>
      <c r="P30" s="257"/>
      <c r="S30" s="263"/>
      <c r="T30" s="256"/>
      <c r="U30" s="256"/>
      <c r="V30" s="256"/>
      <c r="W30" s="256"/>
      <c r="X30" s="256"/>
      <c r="Y30" s="256"/>
      <c r="Z30" s="256"/>
      <c r="AA30" s="256"/>
      <c r="AB30" s="257"/>
    </row>
    <row r="31" spans="3:28" ht="30" customHeight="1" hidden="1">
      <c r="C31" s="263"/>
      <c r="D31" s="256"/>
      <c r="E31" s="267"/>
      <c r="F31" s="267"/>
      <c r="G31" s="267"/>
      <c r="H31" s="256"/>
      <c r="I31" s="256"/>
      <c r="J31" s="267"/>
      <c r="K31" s="267"/>
      <c r="L31" s="267"/>
      <c r="M31" s="267"/>
      <c r="N31" s="268"/>
      <c r="O31" s="268"/>
      <c r="P31" s="257"/>
      <c r="S31" s="263"/>
      <c r="T31" s="256"/>
      <c r="U31" s="256"/>
      <c r="V31" s="256"/>
      <c r="W31" s="256"/>
      <c r="X31" s="256"/>
      <c r="Y31" s="256"/>
      <c r="Z31" s="256"/>
      <c r="AA31" s="256"/>
      <c r="AB31" s="257"/>
    </row>
    <row r="32" spans="3:28" ht="30" customHeight="1" hidden="1">
      <c r="C32" s="263"/>
      <c r="D32" s="256"/>
      <c r="E32" s="267"/>
      <c r="F32" s="267"/>
      <c r="G32" s="267"/>
      <c r="H32" s="256"/>
      <c r="I32" s="256"/>
      <c r="J32" s="267"/>
      <c r="K32" s="267"/>
      <c r="L32" s="267"/>
      <c r="M32" s="267"/>
      <c r="N32" s="268"/>
      <c r="O32" s="268"/>
      <c r="P32" s="257"/>
      <c r="S32" s="263"/>
      <c r="T32" s="256"/>
      <c r="U32" s="256"/>
      <c r="V32" s="256"/>
      <c r="W32" s="256"/>
      <c r="X32" s="256"/>
      <c r="Y32" s="256"/>
      <c r="Z32" s="256"/>
      <c r="AA32" s="256"/>
      <c r="AB32" s="257"/>
    </row>
    <row r="33" spans="3:28" ht="30" customHeight="1" hidden="1">
      <c r="C33" s="263"/>
      <c r="D33" s="256"/>
      <c r="E33" s="267"/>
      <c r="F33" s="267"/>
      <c r="G33" s="267"/>
      <c r="H33" s="256"/>
      <c r="I33" s="256"/>
      <c r="J33" s="267"/>
      <c r="K33" s="267"/>
      <c r="L33" s="267"/>
      <c r="M33" s="267"/>
      <c r="N33" s="268"/>
      <c r="O33" s="268"/>
      <c r="P33" s="257"/>
      <c r="S33" s="263"/>
      <c r="T33" s="256"/>
      <c r="U33" s="256"/>
      <c r="V33" s="256"/>
      <c r="W33" s="256"/>
      <c r="X33" s="256"/>
      <c r="Y33" s="256"/>
      <c r="Z33" s="256"/>
      <c r="AA33" s="256"/>
      <c r="AB33" s="257"/>
    </row>
    <row r="34" spans="3:28" ht="30" customHeight="1" hidden="1">
      <c r="C34" s="263"/>
      <c r="D34" s="256"/>
      <c r="E34" s="267"/>
      <c r="F34" s="267"/>
      <c r="G34" s="267"/>
      <c r="H34" s="256"/>
      <c r="I34" s="256"/>
      <c r="J34" s="267"/>
      <c r="K34" s="267"/>
      <c r="L34" s="267"/>
      <c r="M34" s="267"/>
      <c r="N34" s="268"/>
      <c r="O34" s="268"/>
      <c r="P34" s="257"/>
      <c r="S34" s="263"/>
      <c r="T34" s="256"/>
      <c r="U34" s="256"/>
      <c r="V34" s="256"/>
      <c r="W34" s="256"/>
      <c r="X34" s="256"/>
      <c r="Y34" s="256"/>
      <c r="Z34" s="256"/>
      <c r="AA34" s="256"/>
      <c r="AB34" s="257"/>
    </row>
    <row r="35" spans="3:28" ht="30" customHeight="1" hidden="1">
      <c r="C35" s="263"/>
      <c r="D35" s="256"/>
      <c r="E35" s="267"/>
      <c r="F35" s="267"/>
      <c r="G35" s="267"/>
      <c r="H35" s="256"/>
      <c r="I35" s="256"/>
      <c r="J35" s="267"/>
      <c r="K35" s="267"/>
      <c r="L35" s="267"/>
      <c r="M35" s="267"/>
      <c r="N35" s="268"/>
      <c r="O35" s="268"/>
      <c r="P35" s="257"/>
      <c r="S35" s="263"/>
      <c r="T35" s="256"/>
      <c r="U35" s="256"/>
      <c r="V35" s="256"/>
      <c r="W35" s="256"/>
      <c r="X35" s="256"/>
      <c r="Y35" s="256"/>
      <c r="Z35" s="256"/>
      <c r="AA35" s="256"/>
      <c r="AB35" s="257"/>
    </row>
    <row r="36" spans="3:28" ht="30" customHeight="1" hidden="1">
      <c r="C36" s="263"/>
      <c r="D36" s="256"/>
      <c r="E36" s="267"/>
      <c r="F36" s="267"/>
      <c r="G36" s="267"/>
      <c r="H36" s="256"/>
      <c r="I36" s="256"/>
      <c r="J36" s="267"/>
      <c r="K36" s="267"/>
      <c r="L36" s="267"/>
      <c r="M36" s="267"/>
      <c r="N36" s="268"/>
      <c r="O36" s="268"/>
      <c r="P36" s="257"/>
      <c r="S36" s="263"/>
      <c r="T36" s="256"/>
      <c r="U36" s="256"/>
      <c r="V36" s="256"/>
      <c r="W36" s="256"/>
      <c r="X36" s="256"/>
      <c r="Y36" s="256"/>
      <c r="Z36" s="256"/>
      <c r="AA36" s="256"/>
      <c r="AB36" s="257"/>
    </row>
    <row r="37" spans="3:28" ht="30" customHeight="1" hidden="1">
      <c r="C37" s="263"/>
      <c r="D37" s="256"/>
      <c r="E37" s="267"/>
      <c r="F37" s="267"/>
      <c r="G37" s="267"/>
      <c r="H37" s="256"/>
      <c r="I37" s="256"/>
      <c r="J37" s="267"/>
      <c r="K37" s="267"/>
      <c r="L37" s="267"/>
      <c r="M37" s="267"/>
      <c r="N37" s="268"/>
      <c r="O37" s="268"/>
      <c r="P37" s="257"/>
      <c r="S37" s="263"/>
      <c r="T37" s="256"/>
      <c r="U37" s="256"/>
      <c r="V37" s="256"/>
      <c r="W37" s="256"/>
      <c r="X37" s="256"/>
      <c r="Y37" s="256"/>
      <c r="Z37" s="256"/>
      <c r="AA37" s="256"/>
      <c r="AB37" s="257"/>
    </row>
    <row r="38" spans="1:28" ht="30" customHeight="1">
      <c r="A38" s="263"/>
      <c r="B38" s="263"/>
      <c r="C38" s="263"/>
      <c r="D38" s="257"/>
      <c r="E38" s="257"/>
      <c r="F38" s="257"/>
      <c r="P38" s="257"/>
      <c r="Q38" s="269"/>
      <c r="R38" s="263"/>
      <c r="S38" s="263"/>
      <c r="T38" s="257"/>
      <c r="U38" s="257"/>
      <c r="AB38" s="257"/>
    </row>
    <row r="39" spans="1:28" ht="30" customHeight="1">
      <c r="A39" s="269"/>
      <c r="B39" s="262"/>
      <c r="C39" s="263"/>
      <c r="D39" s="257"/>
      <c r="E39" s="257"/>
      <c r="P39" s="257"/>
      <c r="Q39" s="269"/>
      <c r="R39" s="262"/>
      <c r="S39" s="263"/>
      <c r="T39" s="257"/>
      <c r="U39" s="257"/>
      <c r="AB39" s="257"/>
    </row>
  </sheetData>
  <sheetProtection/>
  <mergeCells count="27">
    <mergeCell ref="T3:X3"/>
    <mergeCell ref="A1:P1"/>
    <mergeCell ref="Q1:AB1"/>
    <mergeCell ref="A3:A4"/>
    <mergeCell ref="B3:B4"/>
    <mergeCell ref="C3:C4"/>
    <mergeCell ref="D3:F3"/>
    <mergeCell ref="G3:H3"/>
    <mergeCell ref="I3:I4"/>
    <mergeCell ref="J3:J4"/>
    <mergeCell ref="O13:O14"/>
    <mergeCell ref="L3:O3"/>
    <mergeCell ref="P3:P4"/>
    <mergeCell ref="Q3:Q4"/>
    <mergeCell ref="R3:R4"/>
    <mergeCell ref="N13:N14"/>
    <mergeCell ref="M13:M14"/>
    <mergeCell ref="K3:K4"/>
    <mergeCell ref="S3:S4"/>
    <mergeCell ref="P13:P14"/>
    <mergeCell ref="Z3:AA3"/>
    <mergeCell ref="AB3:AB4"/>
    <mergeCell ref="A13:A14"/>
    <mergeCell ref="B13:B14"/>
    <mergeCell ref="C13:C14"/>
    <mergeCell ref="D13:H13"/>
    <mergeCell ref="J13:L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headerFooter>
    <oddHeader>&amp;Ra 12/2020. (VII. 10.) önkormányzati rendelet 9.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="115" zoomScaleSheetLayoutView="115" workbookViewId="0" topLeftCell="A1">
      <selection activeCell="C2" sqref="C2"/>
    </sheetView>
  </sheetViews>
  <sheetFormatPr defaultColWidth="9.00390625" defaultRowHeight="12.75"/>
  <cols>
    <col min="1" max="1" width="14.00390625" style="422" customWidth="1"/>
    <col min="2" max="2" width="13.875" style="484" customWidth="1"/>
    <col min="3" max="3" width="79.125" style="422" customWidth="1"/>
    <col min="4" max="6" width="25.00390625" style="422" customWidth="1"/>
    <col min="7" max="7" width="13.50390625" style="422" bestFit="1" customWidth="1"/>
    <col min="8" max="16384" width="9.375" style="422" customWidth="1"/>
  </cols>
  <sheetData>
    <row r="1" spans="2:6" s="1" customFormat="1" ht="21" customHeight="1" thickBot="1">
      <c r="B1" s="2"/>
      <c r="C1" s="3"/>
      <c r="D1" s="167"/>
      <c r="E1" s="167"/>
      <c r="F1" s="167"/>
    </row>
    <row r="2" spans="1:6" s="9" customFormat="1" ht="35.25" customHeight="1" thickBot="1">
      <c r="A2" s="12" t="s">
        <v>39</v>
      </c>
      <c r="B2" s="169" t="s">
        <v>492</v>
      </c>
      <c r="C2" s="10" t="s">
        <v>997</v>
      </c>
      <c r="D2" s="170"/>
      <c r="E2" s="170"/>
      <c r="F2" s="170"/>
    </row>
    <row r="3" spans="1:6" s="9" customFormat="1" ht="24.75" thickBot="1">
      <c r="A3" s="270"/>
      <c r="B3" s="172" t="s">
        <v>37</v>
      </c>
      <c r="C3" s="10" t="s">
        <v>38</v>
      </c>
      <c r="D3" s="173"/>
      <c r="E3" s="173"/>
      <c r="F3" s="173"/>
    </row>
    <row r="4" spans="1:6" s="177" customFormat="1" ht="15.75" customHeight="1" thickBot="1">
      <c r="A4" s="271"/>
      <c r="B4" s="175"/>
      <c r="C4" s="272" t="s">
        <v>580</v>
      </c>
      <c r="D4" s="176"/>
      <c r="E4" s="176"/>
      <c r="F4" s="176" t="s">
        <v>493</v>
      </c>
    </row>
    <row r="5" spans="1:6" ht="24.75" thickBot="1">
      <c r="A5" s="482"/>
      <c r="B5" s="179" t="s">
        <v>40</v>
      </c>
      <c r="C5" s="180" t="s">
        <v>41</v>
      </c>
      <c r="D5" s="181" t="s">
        <v>1072</v>
      </c>
      <c r="E5" s="181" t="s">
        <v>1081</v>
      </c>
      <c r="F5" s="181" t="s">
        <v>1087</v>
      </c>
    </row>
    <row r="6" spans="1:6" s="20" customFormat="1" ht="12.75" customHeight="1" thickBot="1">
      <c r="A6" s="274"/>
      <c r="B6" s="183"/>
      <c r="C6" s="184"/>
      <c r="D6" s="185"/>
      <c r="E6" s="185"/>
      <c r="F6" s="185"/>
    </row>
    <row r="7" spans="1:6" s="20" customFormat="1" ht="15.75" customHeight="1" thickBot="1">
      <c r="A7" s="274"/>
      <c r="B7" s="187"/>
      <c r="C7" s="187" t="s">
        <v>42</v>
      </c>
      <c r="D7" s="188"/>
      <c r="E7" s="188"/>
      <c r="F7" s="188"/>
    </row>
    <row r="8" spans="1:6" s="27" customFormat="1" ht="12" customHeight="1" thickBot="1">
      <c r="A8" s="189" t="s">
        <v>126</v>
      </c>
      <c r="B8" s="183" t="s">
        <v>0</v>
      </c>
      <c r="C8" s="190" t="s">
        <v>494</v>
      </c>
      <c r="D8" s="106">
        <f>SUM(D9:D19)</f>
        <v>0</v>
      </c>
      <c r="E8" s="106">
        <f>SUM(E9:E19)</f>
        <v>0</v>
      </c>
      <c r="F8" s="106">
        <f>SUM(F9:F19)</f>
        <v>0</v>
      </c>
    </row>
    <row r="9" spans="1:6" s="27" customFormat="1" ht="12" customHeight="1">
      <c r="A9" s="192" t="s">
        <v>128</v>
      </c>
      <c r="B9" s="193" t="s">
        <v>46</v>
      </c>
      <c r="C9" s="194" t="s">
        <v>130</v>
      </c>
      <c r="D9" s="275"/>
      <c r="E9" s="275"/>
      <c r="F9" s="275"/>
    </row>
    <row r="10" spans="1:6" s="27" customFormat="1" ht="12" customHeight="1">
      <c r="A10" s="196" t="s">
        <v>131</v>
      </c>
      <c r="B10" s="197" t="s">
        <v>49</v>
      </c>
      <c r="C10" s="198" t="s">
        <v>133</v>
      </c>
      <c r="D10" s="102"/>
      <c r="E10" s="102"/>
      <c r="F10" s="102"/>
    </row>
    <row r="11" spans="1:6" s="27" customFormat="1" ht="12" customHeight="1">
      <c r="A11" s="196" t="s">
        <v>134</v>
      </c>
      <c r="B11" s="197" t="s">
        <v>52</v>
      </c>
      <c r="C11" s="198" t="s">
        <v>136</v>
      </c>
      <c r="D11" s="102"/>
      <c r="E11" s="102"/>
      <c r="F11" s="102"/>
    </row>
    <row r="12" spans="1:6" s="27" customFormat="1" ht="12" customHeight="1">
      <c r="A12" s="196" t="s">
        <v>137</v>
      </c>
      <c r="B12" s="197" t="s">
        <v>55</v>
      </c>
      <c r="C12" s="198" t="s">
        <v>139</v>
      </c>
      <c r="D12" s="102"/>
      <c r="E12" s="102"/>
      <c r="F12" s="102"/>
    </row>
    <row r="13" spans="1:6" s="27" customFormat="1" ht="12" customHeight="1">
      <c r="A13" s="196" t="s">
        <v>140</v>
      </c>
      <c r="B13" s="197" t="s">
        <v>58</v>
      </c>
      <c r="C13" s="198" t="s">
        <v>142</v>
      </c>
      <c r="D13" s="102"/>
      <c r="E13" s="102"/>
      <c r="F13" s="102"/>
    </row>
    <row r="14" spans="1:6" s="27" customFormat="1" ht="12" customHeight="1">
      <c r="A14" s="196" t="s">
        <v>143</v>
      </c>
      <c r="B14" s="197" t="s">
        <v>61</v>
      </c>
      <c r="C14" s="198" t="s">
        <v>495</v>
      </c>
      <c r="D14" s="102"/>
      <c r="E14" s="102"/>
      <c r="F14" s="102"/>
    </row>
    <row r="15" spans="1:6" s="27" customFormat="1" ht="12" customHeight="1">
      <c r="A15" s="196" t="s">
        <v>146</v>
      </c>
      <c r="B15" s="197" t="s">
        <v>245</v>
      </c>
      <c r="C15" s="201" t="s">
        <v>496</v>
      </c>
      <c r="D15" s="102"/>
      <c r="E15" s="102"/>
      <c r="F15" s="102"/>
    </row>
    <row r="16" spans="1:6" s="27" customFormat="1" ht="12" customHeight="1">
      <c r="A16" s="196" t="s">
        <v>149</v>
      </c>
      <c r="B16" s="197" t="s">
        <v>248</v>
      </c>
      <c r="C16" s="198" t="s">
        <v>497</v>
      </c>
      <c r="D16" s="276"/>
      <c r="E16" s="276"/>
      <c r="F16" s="276"/>
    </row>
    <row r="17" spans="1:6" s="30" customFormat="1" ht="12" customHeight="1">
      <c r="A17" s="196" t="s">
        <v>152</v>
      </c>
      <c r="B17" s="197" t="s">
        <v>251</v>
      </c>
      <c r="C17" s="198" t="s">
        <v>154</v>
      </c>
      <c r="D17" s="102"/>
      <c r="E17" s="102"/>
      <c r="F17" s="102"/>
    </row>
    <row r="18" spans="1:6" s="30" customFormat="1" ht="12" customHeight="1">
      <c r="A18" s="196" t="s">
        <v>155</v>
      </c>
      <c r="B18" s="197" t="s">
        <v>254</v>
      </c>
      <c r="C18" s="198" t="s">
        <v>157</v>
      </c>
      <c r="D18" s="277"/>
      <c r="E18" s="277"/>
      <c r="F18" s="277"/>
    </row>
    <row r="19" spans="1:6" s="30" customFormat="1" ht="12" customHeight="1" thickBot="1">
      <c r="A19" s="204" t="s">
        <v>155</v>
      </c>
      <c r="B19" s="197" t="s">
        <v>257</v>
      </c>
      <c r="C19" s="201" t="s">
        <v>159</v>
      </c>
      <c r="D19" s="277"/>
      <c r="E19" s="277"/>
      <c r="F19" s="277"/>
    </row>
    <row r="20" spans="1:6" s="27" customFormat="1" ht="12" customHeight="1" thickBot="1">
      <c r="A20" s="189" t="s">
        <v>63</v>
      </c>
      <c r="B20" s="183" t="s">
        <v>1</v>
      </c>
      <c r="C20" s="190" t="s">
        <v>498</v>
      </c>
      <c r="D20" s="106">
        <f>SUM(D21:D23)</f>
        <v>0</v>
      </c>
      <c r="E20" s="106">
        <f>SUM(E21:E23)</f>
        <v>0</v>
      </c>
      <c r="F20" s="106">
        <f>SUM(F21:F23)</f>
        <v>0</v>
      </c>
    </row>
    <row r="21" spans="1:6" s="30" customFormat="1" ht="12" customHeight="1">
      <c r="A21" s="192" t="s">
        <v>65</v>
      </c>
      <c r="B21" s="197" t="s">
        <v>66</v>
      </c>
      <c r="C21" s="206" t="s">
        <v>67</v>
      </c>
      <c r="D21" s="102"/>
      <c r="E21" s="102"/>
      <c r="F21" s="102"/>
    </row>
    <row r="22" spans="1:6" s="30" customFormat="1" ht="12" customHeight="1">
      <c r="A22" s="196" t="s">
        <v>71</v>
      </c>
      <c r="B22" s="197" t="s">
        <v>69</v>
      </c>
      <c r="C22" s="198" t="s">
        <v>499</v>
      </c>
      <c r="D22" s="102"/>
      <c r="E22" s="102"/>
      <c r="F22" s="102"/>
    </row>
    <row r="23" spans="1:6" s="30" customFormat="1" ht="12" customHeight="1">
      <c r="A23" s="196" t="s">
        <v>77</v>
      </c>
      <c r="B23" s="197" t="s">
        <v>72</v>
      </c>
      <c r="C23" s="198" t="s">
        <v>500</v>
      </c>
      <c r="D23" s="102"/>
      <c r="E23" s="102"/>
      <c r="F23" s="102"/>
    </row>
    <row r="24" spans="1:6" s="30" customFormat="1" ht="12" customHeight="1" thickBot="1">
      <c r="A24" s="204" t="s">
        <v>77</v>
      </c>
      <c r="B24" s="197" t="s">
        <v>75</v>
      </c>
      <c r="C24" s="198" t="s">
        <v>581</v>
      </c>
      <c r="D24" s="102"/>
      <c r="E24" s="102"/>
      <c r="F24" s="102"/>
    </row>
    <row r="25" spans="1:6" s="30" customFormat="1" ht="12" customHeight="1" thickBot="1">
      <c r="A25" s="189" t="s">
        <v>101</v>
      </c>
      <c r="B25" s="207" t="s">
        <v>2</v>
      </c>
      <c r="C25" s="208" t="s">
        <v>13</v>
      </c>
      <c r="D25" s="278"/>
      <c r="E25" s="278"/>
      <c r="F25" s="278"/>
    </row>
    <row r="26" spans="1:6" s="30" customFormat="1" ht="12" customHeight="1" thickBot="1">
      <c r="A26" s="189" t="s">
        <v>82</v>
      </c>
      <c r="B26" s="207" t="s">
        <v>3</v>
      </c>
      <c r="C26" s="208" t="s">
        <v>582</v>
      </c>
      <c r="D26" s="106">
        <f>SUM(D27:D28)</f>
        <v>0</v>
      </c>
      <c r="E26" s="106">
        <f>SUM(E27:E28)</f>
        <v>0</v>
      </c>
      <c r="F26" s="106">
        <f>SUM(F27:F28)</f>
        <v>0</v>
      </c>
    </row>
    <row r="27" spans="1:6" s="30" customFormat="1" ht="12" customHeight="1">
      <c r="A27" s="192" t="s">
        <v>84</v>
      </c>
      <c r="B27" s="210" t="s">
        <v>105</v>
      </c>
      <c r="C27" s="211" t="s">
        <v>499</v>
      </c>
      <c r="D27" s="125"/>
      <c r="E27" s="125"/>
      <c r="F27" s="125"/>
    </row>
    <row r="28" spans="1:6" s="30" customFormat="1" ht="12" customHeight="1">
      <c r="A28" s="196" t="s">
        <v>96</v>
      </c>
      <c r="B28" s="210" t="s">
        <v>503</v>
      </c>
      <c r="C28" s="213" t="s">
        <v>505</v>
      </c>
      <c r="D28" s="110"/>
      <c r="E28" s="110"/>
      <c r="F28" s="110"/>
    </row>
    <row r="29" spans="1:6" s="30" customFormat="1" ht="12" customHeight="1" thickBot="1">
      <c r="A29" s="204" t="s">
        <v>96</v>
      </c>
      <c r="B29" s="197" t="s">
        <v>504</v>
      </c>
      <c r="C29" s="214" t="s">
        <v>583</v>
      </c>
      <c r="D29" s="279"/>
      <c r="E29" s="279"/>
      <c r="F29" s="279"/>
    </row>
    <row r="30" spans="1:6" s="30" customFormat="1" ht="12" customHeight="1" thickBot="1">
      <c r="A30" s="189" t="s">
        <v>160</v>
      </c>
      <c r="B30" s="207" t="s">
        <v>4</v>
      </c>
      <c r="C30" s="208" t="s">
        <v>508</v>
      </c>
      <c r="D30" s="106">
        <f>SUM(D31:D33)</f>
        <v>0</v>
      </c>
      <c r="E30" s="106">
        <f>SUM(E31:E33)</f>
        <v>0</v>
      </c>
      <c r="F30" s="106">
        <f>SUM(F31:F33)</f>
        <v>0</v>
      </c>
    </row>
    <row r="31" spans="1:6" s="30" customFormat="1" ht="12" customHeight="1">
      <c r="A31" s="192" t="s">
        <v>162</v>
      </c>
      <c r="B31" s="210" t="s">
        <v>129</v>
      </c>
      <c r="C31" s="211" t="s">
        <v>164</v>
      </c>
      <c r="D31" s="125"/>
      <c r="E31" s="125"/>
      <c r="F31" s="125"/>
    </row>
    <row r="32" spans="1:6" s="30" customFormat="1" ht="12" customHeight="1">
      <c r="A32" s="196" t="s">
        <v>165</v>
      </c>
      <c r="B32" s="210" t="s">
        <v>132</v>
      </c>
      <c r="C32" s="213" t="s">
        <v>167</v>
      </c>
      <c r="D32" s="110"/>
      <c r="E32" s="110"/>
      <c r="F32" s="110"/>
    </row>
    <row r="33" spans="1:6" s="30" customFormat="1" ht="12" customHeight="1" thickBot="1">
      <c r="A33" s="204" t="s">
        <v>168</v>
      </c>
      <c r="B33" s="197" t="s">
        <v>135</v>
      </c>
      <c r="C33" s="214" t="s">
        <v>170</v>
      </c>
      <c r="D33" s="279"/>
      <c r="E33" s="279"/>
      <c r="F33" s="279"/>
    </row>
    <row r="34" spans="1:6" s="27" customFormat="1" ht="12" customHeight="1" thickBot="1">
      <c r="A34" s="189" t="s">
        <v>177</v>
      </c>
      <c r="B34" s="207" t="s">
        <v>5</v>
      </c>
      <c r="C34" s="208" t="s">
        <v>14</v>
      </c>
      <c r="D34" s="278"/>
      <c r="E34" s="278"/>
      <c r="F34" s="278"/>
    </row>
    <row r="35" spans="1:6" s="27" customFormat="1" ht="12" customHeight="1" thickBot="1">
      <c r="A35" s="189" t="s">
        <v>190</v>
      </c>
      <c r="B35" s="207" t="s">
        <v>6</v>
      </c>
      <c r="C35" s="208" t="s">
        <v>15</v>
      </c>
      <c r="D35" s="280"/>
      <c r="E35" s="280"/>
      <c r="F35" s="280"/>
    </row>
    <row r="36" spans="1:6" s="27" customFormat="1" ht="12" customHeight="1" thickBot="1">
      <c r="A36" s="189" t="s">
        <v>203</v>
      </c>
      <c r="B36" s="183" t="s">
        <v>7</v>
      </c>
      <c r="C36" s="208" t="s">
        <v>584</v>
      </c>
      <c r="D36" s="281">
        <f>D8+D20+D25+D26+D30+D34+D35</f>
        <v>0</v>
      </c>
      <c r="E36" s="281">
        <f>E8+E20+E25+E26+E30+E34+E35</f>
        <v>0</v>
      </c>
      <c r="F36" s="281">
        <f>F8+F20+F25+F26+F30+F34+F35</f>
        <v>0</v>
      </c>
    </row>
    <row r="37" spans="1:6" s="27" customFormat="1" ht="12" customHeight="1" thickBot="1">
      <c r="A37" s="189" t="s">
        <v>230</v>
      </c>
      <c r="B37" s="219" t="s">
        <v>204</v>
      </c>
      <c r="C37" s="208" t="s">
        <v>510</v>
      </c>
      <c r="D37" s="281">
        <f>SUM(D38:D40)</f>
        <v>215135873</v>
      </c>
      <c r="E37" s="281">
        <f>SUM(E38:E40)</f>
        <v>178135873</v>
      </c>
      <c r="F37" s="281">
        <f>SUM(F38:F40)</f>
        <v>83300495</v>
      </c>
    </row>
    <row r="38" spans="1:6" s="27" customFormat="1" ht="12" customHeight="1">
      <c r="A38" s="192" t="s">
        <v>215</v>
      </c>
      <c r="B38" s="210" t="s">
        <v>511</v>
      </c>
      <c r="C38" s="211" t="s">
        <v>512</v>
      </c>
      <c r="D38" s="125">
        <f>666566+54520</f>
        <v>721086</v>
      </c>
      <c r="E38" s="125">
        <f>666566+54520</f>
        <v>721086</v>
      </c>
      <c r="F38" s="125"/>
    </row>
    <row r="39" spans="1:6" s="27" customFormat="1" ht="12" customHeight="1">
      <c r="A39" s="196" t="s">
        <v>218</v>
      </c>
      <c r="B39" s="210" t="s">
        <v>513</v>
      </c>
      <c r="C39" s="213" t="s">
        <v>585</v>
      </c>
      <c r="D39" s="110"/>
      <c r="E39" s="110"/>
      <c r="F39" s="110"/>
    </row>
    <row r="40" spans="1:6" s="30" customFormat="1" ht="12" customHeight="1" thickBot="1">
      <c r="A40" s="204" t="s">
        <v>515</v>
      </c>
      <c r="B40" s="197" t="s">
        <v>516</v>
      </c>
      <c r="C40" s="214" t="s">
        <v>517</v>
      </c>
      <c r="D40" s="279">
        <v>214414787</v>
      </c>
      <c r="E40" s="279">
        <f>214414787-37000000</f>
        <v>177414787</v>
      </c>
      <c r="F40" s="279">
        <v>83300495</v>
      </c>
    </row>
    <row r="41" spans="1:6" s="30" customFormat="1" ht="15" customHeight="1" thickBot="1">
      <c r="A41" s="189" t="s">
        <v>518</v>
      </c>
      <c r="B41" s="219" t="s">
        <v>303</v>
      </c>
      <c r="C41" s="483" t="s">
        <v>519</v>
      </c>
      <c r="D41" s="227">
        <f>D36+D37</f>
        <v>215135873</v>
      </c>
      <c r="E41" s="227">
        <f>E36+E37</f>
        <v>178135873</v>
      </c>
      <c r="F41" s="227">
        <f>F36+F37</f>
        <v>83300495</v>
      </c>
    </row>
    <row r="42" spans="1:6" s="30" customFormat="1" ht="15" customHeight="1">
      <c r="A42" s="282"/>
      <c r="B42" s="56"/>
      <c r="C42" s="57"/>
      <c r="D42" s="58"/>
      <c r="E42" s="58"/>
      <c r="F42" s="58"/>
    </row>
    <row r="43" spans="2:6" ht="13.5" thickBot="1">
      <c r="B43" s="223"/>
      <c r="C43" s="40"/>
      <c r="D43" s="224"/>
      <c r="E43" s="224"/>
      <c r="F43" s="224"/>
    </row>
    <row r="44" spans="1:6" s="20" customFormat="1" ht="16.5" customHeight="1" thickBot="1">
      <c r="A44" s="283" t="s">
        <v>39</v>
      </c>
      <c r="B44" s="284"/>
      <c r="C44" s="179" t="s">
        <v>235</v>
      </c>
      <c r="D44" s="227"/>
      <c r="E44" s="227"/>
      <c r="F44" s="227"/>
    </row>
    <row r="45" spans="1:6" s="66" customFormat="1" ht="12" customHeight="1" thickBot="1">
      <c r="A45" s="189" t="s">
        <v>520</v>
      </c>
      <c r="B45" s="285" t="s">
        <v>0</v>
      </c>
      <c r="C45" s="208" t="s">
        <v>521</v>
      </c>
      <c r="D45" s="106">
        <f>SUM(D46:D50)</f>
        <v>208785873</v>
      </c>
      <c r="E45" s="106">
        <f>SUM(E46:E50)</f>
        <v>171785873</v>
      </c>
      <c r="F45" s="106">
        <f>SUM(F46:F50)</f>
        <v>81443194</v>
      </c>
    </row>
    <row r="46" spans="1:6" ht="12" customHeight="1">
      <c r="A46" s="192" t="s">
        <v>236</v>
      </c>
      <c r="B46" s="286" t="s">
        <v>46</v>
      </c>
      <c r="C46" s="206" t="s">
        <v>237</v>
      </c>
      <c r="D46" s="125">
        <v>159904095</v>
      </c>
      <c r="E46" s="125">
        <f>159904095-26890000</f>
        <v>133014095</v>
      </c>
      <c r="F46" s="125">
        <v>61168135</v>
      </c>
    </row>
    <row r="47" spans="1:6" ht="12" customHeight="1">
      <c r="A47" s="196" t="s">
        <v>238</v>
      </c>
      <c r="B47" s="286" t="s">
        <v>49</v>
      </c>
      <c r="C47" s="198" t="s">
        <v>8</v>
      </c>
      <c r="D47" s="113">
        <v>30381778</v>
      </c>
      <c r="E47" s="113">
        <f>30381778-5110000</f>
        <v>25271778</v>
      </c>
      <c r="F47" s="113">
        <v>11636934</v>
      </c>
    </row>
    <row r="48" spans="1:6" ht="12" customHeight="1">
      <c r="A48" s="196" t="s">
        <v>239</v>
      </c>
      <c r="B48" s="286" t="s">
        <v>52</v>
      </c>
      <c r="C48" s="198" t="s">
        <v>240</v>
      </c>
      <c r="D48" s="113">
        <v>18500000</v>
      </c>
      <c r="E48" s="113">
        <f>18500000-5000000</f>
        <v>13500000</v>
      </c>
      <c r="F48" s="113">
        <v>8638125</v>
      </c>
    </row>
    <row r="49" spans="1:6" ht="12" customHeight="1">
      <c r="A49" s="196" t="s">
        <v>241</v>
      </c>
      <c r="B49" s="286" t="s">
        <v>55</v>
      </c>
      <c r="C49" s="198" t="s">
        <v>9</v>
      </c>
      <c r="D49" s="113"/>
      <c r="E49" s="113"/>
      <c r="F49" s="113"/>
    </row>
    <row r="50" spans="1:6" ht="12" customHeight="1" thickBot="1">
      <c r="A50" s="204" t="s">
        <v>242</v>
      </c>
      <c r="B50" s="286" t="s">
        <v>58</v>
      </c>
      <c r="C50" s="198" t="s">
        <v>10</v>
      </c>
      <c r="D50" s="113"/>
      <c r="E50" s="113"/>
      <c r="F50" s="113"/>
    </row>
    <row r="51" spans="1:6" ht="12" customHeight="1" thickBot="1">
      <c r="A51" s="189" t="s">
        <v>522</v>
      </c>
      <c r="B51" s="285" t="s">
        <v>1</v>
      </c>
      <c r="C51" s="208" t="s">
        <v>586</v>
      </c>
      <c r="D51" s="106">
        <f>SUM(D52:D54)</f>
        <v>6350000</v>
      </c>
      <c r="E51" s="106">
        <f>SUM(E52:E54)</f>
        <v>6350000</v>
      </c>
      <c r="F51" s="106">
        <f>SUM(F52:F54)</f>
        <v>861360</v>
      </c>
    </row>
    <row r="52" spans="1:6" s="66" customFormat="1" ht="12" customHeight="1">
      <c r="A52" s="192" t="s">
        <v>279</v>
      </c>
      <c r="B52" s="286" t="s">
        <v>66</v>
      </c>
      <c r="C52" s="206" t="s">
        <v>11</v>
      </c>
      <c r="D52" s="125"/>
      <c r="E52" s="125"/>
      <c r="F52" s="125">
        <v>414752</v>
      </c>
    </row>
    <row r="53" spans="1:6" ht="12" customHeight="1">
      <c r="A53" s="196" t="s">
        <v>280</v>
      </c>
      <c r="B53" s="286" t="s">
        <v>69</v>
      </c>
      <c r="C53" s="198" t="s">
        <v>12</v>
      </c>
      <c r="D53" s="113">
        <v>6350000</v>
      </c>
      <c r="E53" s="113">
        <v>6350000</v>
      </c>
      <c r="F53" s="113">
        <v>446608</v>
      </c>
    </row>
    <row r="54" spans="1:6" ht="12" customHeight="1">
      <c r="A54" s="196" t="s">
        <v>281</v>
      </c>
      <c r="B54" s="286" t="s">
        <v>72</v>
      </c>
      <c r="C54" s="198" t="s">
        <v>524</v>
      </c>
      <c r="D54" s="113"/>
      <c r="E54" s="113"/>
      <c r="F54" s="113"/>
    </row>
    <row r="55" spans="1:6" ht="12" customHeight="1" thickBot="1">
      <c r="A55" s="196" t="s">
        <v>281</v>
      </c>
      <c r="B55" s="286" t="s">
        <v>75</v>
      </c>
      <c r="C55" s="198" t="s">
        <v>525</v>
      </c>
      <c r="D55" s="113"/>
      <c r="E55" s="113"/>
      <c r="F55" s="113"/>
    </row>
    <row r="56" spans="1:6" ht="15" customHeight="1" thickBot="1">
      <c r="A56" s="287" t="s">
        <v>526</v>
      </c>
      <c r="B56" s="285" t="s">
        <v>2</v>
      </c>
      <c r="C56" s="208" t="s">
        <v>389</v>
      </c>
      <c r="D56" s="278">
        <v>0</v>
      </c>
      <c r="E56" s="278">
        <v>0</v>
      </c>
      <c r="F56" s="278">
        <v>0</v>
      </c>
    </row>
    <row r="57" spans="1:6" ht="13.5" thickBot="1">
      <c r="A57" s="189" t="s">
        <v>528</v>
      </c>
      <c r="B57" s="285" t="s">
        <v>3</v>
      </c>
      <c r="C57" s="233" t="s">
        <v>529</v>
      </c>
      <c r="D57" s="288">
        <f>D45+D51+D56</f>
        <v>215135873</v>
      </c>
      <c r="E57" s="288">
        <f>E45+E51+E56</f>
        <v>178135873</v>
      </c>
      <c r="F57" s="288">
        <f>F45+F51+F56</f>
        <v>82304554</v>
      </c>
    </row>
    <row r="58" spans="4:6" ht="15" customHeight="1">
      <c r="D58" s="485"/>
      <c r="E58" s="485"/>
      <c r="F58" s="485"/>
    </row>
    <row r="59" spans="2:6" ht="14.25" customHeight="1">
      <c r="B59" s="93"/>
      <c r="C59" s="94"/>
      <c r="D59" s="95"/>
      <c r="E59" s="95"/>
      <c r="F59" s="95"/>
    </row>
    <row r="60" spans="2:6" ht="12.75">
      <c r="B60" s="93"/>
      <c r="C60" s="94"/>
      <c r="D60" s="95"/>
      <c r="E60" s="95"/>
      <c r="F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  <headerFooter>
    <oddHeader>&amp;Ra 12/2020. (VII. 10.) önkormányzati rendelet 10.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SheetLayoutView="100" workbookViewId="0" topLeftCell="A22">
      <selection activeCell="C2" sqref="C2"/>
    </sheetView>
  </sheetViews>
  <sheetFormatPr defaultColWidth="9.00390625" defaultRowHeight="12.75"/>
  <cols>
    <col min="1" max="1" width="14.00390625" style="15" customWidth="1"/>
    <col min="2" max="2" width="13.875" style="235" customWidth="1"/>
    <col min="3" max="3" width="79.125" style="15" customWidth="1"/>
    <col min="4" max="6" width="25.00390625" style="15" customWidth="1"/>
    <col min="7" max="16384" width="9.375" style="15" customWidth="1"/>
  </cols>
  <sheetData>
    <row r="1" spans="2:6" s="1" customFormat="1" ht="21" customHeight="1" thickBot="1">
      <c r="B1" s="2"/>
      <c r="C1" s="3"/>
      <c r="D1" s="167"/>
      <c r="E1" s="167"/>
      <c r="F1" s="167"/>
    </row>
    <row r="2" spans="1:6" s="9" customFormat="1" ht="35.25" customHeight="1" thickBot="1">
      <c r="A2" s="289" t="s">
        <v>39</v>
      </c>
      <c r="B2" s="290" t="s">
        <v>492</v>
      </c>
      <c r="C2" s="10" t="s">
        <v>998</v>
      </c>
      <c r="D2" s="170"/>
      <c r="E2" s="170"/>
      <c r="F2" s="170"/>
    </row>
    <row r="3" spans="1:6" s="9" customFormat="1" ht="24.75" thickBot="1">
      <c r="A3" s="291"/>
      <c r="B3" s="292" t="s">
        <v>37</v>
      </c>
      <c r="C3" s="10" t="s">
        <v>38</v>
      </c>
      <c r="D3" s="173"/>
      <c r="E3" s="173"/>
      <c r="F3" s="173"/>
    </row>
    <row r="4" spans="1:6" s="177" customFormat="1" ht="15.75" customHeight="1" thickBot="1">
      <c r="A4" s="293"/>
      <c r="B4" s="294"/>
      <c r="C4" s="272" t="s">
        <v>580</v>
      </c>
      <c r="D4" s="176"/>
      <c r="E4" s="176"/>
      <c r="F4" s="176" t="s">
        <v>493</v>
      </c>
    </row>
    <row r="5" spans="1:6" ht="24.75" thickBot="1">
      <c r="A5" s="295"/>
      <c r="B5" s="13" t="s">
        <v>40</v>
      </c>
      <c r="C5" s="180" t="s">
        <v>41</v>
      </c>
      <c r="D5" s="181" t="s">
        <v>1072</v>
      </c>
      <c r="E5" s="181" t="s">
        <v>1082</v>
      </c>
      <c r="F5" s="181" t="s">
        <v>1087</v>
      </c>
    </row>
    <row r="6" spans="1:6" s="20" customFormat="1" ht="12.75" customHeight="1" thickBot="1">
      <c r="A6" s="296"/>
      <c r="B6" s="297"/>
      <c r="C6" s="184"/>
      <c r="D6" s="185"/>
      <c r="E6" s="185"/>
      <c r="F6" s="185"/>
    </row>
    <row r="7" spans="1:6" s="20" customFormat="1" ht="15.75" customHeight="1" thickBot="1">
      <c r="A7" s="296"/>
      <c r="B7" s="298"/>
      <c r="C7" s="187" t="s">
        <v>42</v>
      </c>
      <c r="D7" s="188"/>
      <c r="E7" s="188"/>
      <c r="F7" s="188"/>
    </row>
    <row r="8" spans="1:6" s="27" customFormat="1" ht="12" customHeight="1" thickBot="1">
      <c r="A8" s="299" t="s">
        <v>126</v>
      </c>
      <c r="B8" s="297" t="s">
        <v>0</v>
      </c>
      <c r="C8" s="190" t="s">
        <v>494</v>
      </c>
      <c r="D8" s="106">
        <f>SUM(D9:D19)</f>
        <v>2600000</v>
      </c>
      <c r="E8" s="106">
        <f>SUM(E9:E19)</f>
        <v>2600000</v>
      </c>
      <c r="F8" s="106">
        <f>SUM(F9:F19)</f>
        <v>1279090</v>
      </c>
    </row>
    <row r="9" spans="1:6" s="27" customFormat="1" ht="12" customHeight="1">
      <c r="A9" s="300" t="s">
        <v>128</v>
      </c>
      <c r="B9" s="301" t="s">
        <v>46</v>
      </c>
      <c r="C9" s="194" t="s">
        <v>130</v>
      </c>
      <c r="D9" s="275"/>
      <c r="E9" s="275"/>
      <c r="F9" s="275"/>
    </row>
    <row r="10" spans="1:6" s="27" customFormat="1" ht="12" customHeight="1">
      <c r="A10" s="302" t="s">
        <v>131</v>
      </c>
      <c r="B10" s="286" t="s">
        <v>49</v>
      </c>
      <c r="C10" s="198" t="s">
        <v>133</v>
      </c>
      <c r="D10" s="102">
        <v>2600000</v>
      </c>
      <c r="E10" s="102">
        <v>2600000</v>
      </c>
      <c r="F10" s="102">
        <v>1279090</v>
      </c>
    </row>
    <row r="11" spans="1:6" s="27" customFormat="1" ht="12" customHeight="1">
      <c r="A11" s="302" t="s">
        <v>134</v>
      </c>
      <c r="B11" s="286" t="s">
        <v>52</v>
      </c>
      <c r="C11" s="198" t="s">
        <v>136</v>
      </c>
      <c r="D11" s="102"/>
      <c r="E11" s="102"/>
      <c r="F11" s="102"/>
    </row>
    <row r="12" spans="1:6" s="27" customFormat="1" ht="12" customHeight="1">
      <c r="A12" s="302" t="s">
        <v>137</v>
      </c>
      <c r="B12" s="286" t="s">
        <v>55</v>
      </c>
      <c r="C12" s="198" t="s">
        <v>139</v>
      </c>
      <c r="D12" s="102"/>
      <c r="E12" s="102"/>
      <c r="F12" s="102"/>
    </row>
    <row r="13" spans="1:6" s="27" customFormat="1" ht="12" customHeight="1">
      <c r="A13" s="302" t="s">
        <v>140</v>
      </c>
      <c r="B13" s="286" t="s">
        <v>58</v>
      </c>
      <c r="C13" s="198" t="s">
        <v>142</v>
      </c>
      <c r="D13" s="102"/>
      <c r="E13" s="102"/>
      <c r="F13" s="102"/>
    </row>
    <row r="14" spans="1:6" s="27" customFormat="1" ht="12" customHeight="1">
      <c r="A14" s="302" t="s">
        <v>143</v>
      </c>
      <c r="B14" s="286" t="s">
        <v>61</v>
      </c>
      <c r="C14" s="198" t="s">
        <v>495</v>
      </c>
      <c r="D14" s="102"/>
      <c r="E14" s="102"/>
      <c r="F14" s="102"/>
    </row>
    <row r="15" spans="1:6" s="27" customFormat="1" ht="12" customHeight="1">
      <c r="A15" s="302" t="s">
        <v>146</v>
      </c>
      <c r="B15" s="286" t="s">
        <v>245</v>
      </c>
      <c r="C15" s="201" t="s">
        <v>496</v>
      </c>
      <c r="D15" s="102"/>
      <c r="E15" s="102"/>
      <c r="F15" s="102"/>
    </row>
    <row r="16" spans="1:6" s="27" customFormat="1" ht="12" customHeight="1">
      <c r="A16" s="302" t="s">
        <v>149</v>
      </c>
      <c r="B16" s="286" t="s">
        <v>248</v>
      </c>
      <c r="C16" s="198" t="s">
        <v>497</v>
      </c>
      <c r="D16" s="276"/>
      <c r="E16" s="276"/>
      <c r="F16" s="276"/>
    </row>
    <row r="17" spans="1:6" s="30" customFormat="1" ht="12" customHeight="1">
      <c r="A17" s="302" t="s">
        <v>152</v>
      </c>
      <c r="B17" s="286" t="s">
        <v>251</v>
      </c>
      <c r="C17" s="198" t="s">
        <v>154</v>
      </c>
      <c r="D17" s="102"/>
      <c r="E17" s="102"/>
      <c r="F17" s="102"/>
    </row>
    <row r="18" spans="1:6" s="30" customFormat="1" ht="12" customHeight="1">
      <c r="A18" s="302" t="s">
        <v>155</v>
      </c>
      <c r="B18" s="286" t="s">
        <v>254</v>
      </c>
      <c r="C18" s="198" t="s">
        <v>157</v>
      </c>
      <c r="D18" s="277"/>
      <c r="E18" s="277"/>
      <c r="F18" s="277"/>
    </row>
    <row r="19" spans="1:6" s="30" customFormat="1" ht="12" customHeight="1" thickBot="1">
      <c r="A19" s="303" t="s">
        <v>155</v>
      </c>
      <c r="B19" s="286" t="s">
        <v>257</v>
      </c>
      <c r="C19" s="201" t="s">
        <v>159</v>
      </c>
      <c r="D19" s="277"/>
      <c r="E19" s="277"/>
      <c r="F19" s="277"/>
    </row>
    <row r="20" spans="1:6" s="27" customFormat="1" ht="12" customHeight="1" thickBot="1">
      <c r="A20" s="299" t="s">
        <v>63</v>
      </c>
      <c r="B20" s="297" t="s">
        <v>1</v>
      </c>
      <c r="C20" s="190" t="s">
        <v>498</v>
      </c>
      <c r="D20" s="106">
        <f>SUM(D21:D23)</f>
        <v>0</v>
      </c>
      <c r="E20" s="106">
        <f>SUM(E21:E23)</f>
        <v>0</v>
      </c>
      <c r="F20" s="106">
        <f>SUM(F21:F23)</f>
        <v>0</v>
      </c>
    </row>
    <row r="21" spans="1:6" s="30" customFormat="1" ht="12" customHeight="1">
      <c r="A21" s="300" t="s">
        <v>65</v>
      </c>
      <c r="B21" s="286" t="s">
        <v>66</v>
      </c>
      <c r="C21" s="206" t="s">
        <v>67</v>
      </c>
      <c r="D21" s="102"/>
      <c r="E21" s="102"/>
      <c r="F21" s="102"/>
    </row>
    <row r="22" spans="1:6" s="30" customFormat="1" ht="12" customHeight="1">
      <c r="A22" s="302" t="s">
        <v>71</v>
      </c>
      <c r="B22" s="286" t="s">
        <v>69</v>
      </c>
      <c r="C22" s="198" t="s">
        <v>499</v>
      </c>
      <c r="D22" s="102"/>
      <c r="E22" s="102"/>
      <c r="F22" s="102"/>
    </row>
    <row r="23" spans="1:6" s="30" customFormat="1" ht="12" customHeight="1">
      <c r="A23" s="302" t="s">
        <v>77</v>
      </c>
      <c r="B23" s="286" t="s">
        <v>72</v>
      </c>
      <c r="C23" s="198" t="s">
        <v>500</v>
      </c>
      <c r="D23" s="102"/>
      <c r="E23" s="102"/>
      <c r="F23" s="102"/>
    </row>
    <row r="24" spans="1:6" s="30" customFormat="1" ht="12" customHeight="1" thickBot="1">
      <c r="A24" s="303" t="s">
        <v>77</v>
      </c>
      <c r="B24" s="286" t="s">
        <v>75</v>
      </c>
      <c r="C24" s="198" t="s">
        <v>581</v>
      </c>
      <c r="D24" s="102"/>
      <c r="E24" s="102"/>
      <c r="F24" s="102"/>
    </row>
    <row r="25" spans="1:6" s="30" customFormat="1" ht="12" customHeight="1" thickBot="1">
      <c r="A25" s="299" t="s">
        <v>101</v>
      </c>
      <c r="B25" s="285" t="s">
        <v>2</v>
      </c>
      <c r="C25" s="208" t="s">
        <v>13</v>
      </c>
      <c r="D25" s="278"/>
      <c r="E25" s="278"/>
      <c r="F25" s="278"/>
    </row>
    <row r="26" spans="1:6" s="30" customFormat="1" ht="12" customHeight="1" thickBot="1">
      <c r="A26" s="299" t="s">
        <v>82</v>
      </c>
      <c r="B26" s="285" t="s">
        <v>3</v>
      </c>
      <c r="C26" s="208" t="s">
        <v>582</v>
      </c>
      <c r="D26" s="106">
        <f>SUM(D27:D28)</f>
        <v>0</v>
      </c>
      <c r="E26" s="106">
        <f>SUM(E27:E28)</f>
        <v>0</v>
      </c>
      <c r="F26" s="106">
        <f>SUM(F27:F28)</f>
        <v>0</v>
      </c>
    </row>
    <row r="27" spans="1:6" s="30" customFormat="1" ht="12" customHeight="1">
      <c r="A27" s="300" t="s">
        <v>84</v>
      </c>
      <c r="B27" s="304" t="s">
        <v>105</v>
      </c>
      <c r="C27" s="211" t="s">
        <v>499</v>
      </c>
      <c r="D27" s="125"/>
      <c r="E27" s="125"/>
      <c r="F27" s="125"/>
    </row>
    <row r="28" spans="1:6" s="30" customFormat="1" ht="12" customHeight="1">
      <c r="A28" s="302" t="s">
        <v>96</v>
      </c>
      <c r="B28" s="304" t="s">
        <v>503</v>
      </c>
      <c r="C28" s="213" t="s">
        <v>505</v>
      </c>
      <c r="D28" s="110"/>
      <c r="E28" s="110"/>
      <c r="F28" s="110"/>
    </row>
    <row r="29" spans="1:6" s="30" customFormat="1" ht="12" customHeight="1" thickBot="1">
      <c r="A29" s="303" t="s">
        <v>96</v>
      </c>
      <c r="B29" s="286" t="s">
        <v>504</v>
      </c>
      <c r="C29" s="214" t="s">
        <v>583</v>
      </c>
      <c r="D29" s="279"/>
      <c r="E29" s="279"/>
      <c r="F29" s="279"/>
    </row>
    <row r="30" spans="1:6" s="30" customFormat="1" ht="12" customHeight="1" thickBot="1">
      <c r="A30" s="299" t="s">
        <v>160</v>
      </c>
      <c r="B30" s="285" t="s">
        <v>4</v>
      </c>
      <c r="C30" s="208" t="s">
        <v>508</v>
      </c>
      <c r="D30" s="106"/>
      <c r="E30" s="106"/>
      <c r="F30" s="106"/>
    </row>
    <row r="31" spans="1:6" s="30" customFormat="1" ht="12" customHeight="1">
      <c r="A31" s="300" t="s">
        <v>162</v>
      </c>
      <c r="B31" s="304" t="s">
        <v>129</v>
      </c>
      <c r="C31" s="211" t="s">
        <v>164</v>
      </c>
      <c r="D31" s="125"/>
      <c r="E31" s="125"/>
      <c r="F31" s="125"/>
    </row>
    <row r="32" spans="1:6" s="30" customFormat="1" ht="12" customHeight="1">
      <c r="A32" s="302" t="s">
        <v>165</v>
      </c>
      <c r="B32" s="304" t="s">
        <v>132</v>
      </c>
      <c r="C32" s="213" t="s">
        <v>167</v>
      </c>
      <c r="D32" s="110"/>
      <c r="E32" s="110"/>
      <c r="F32" s="110"/>
    </row>
    <row r="33" spans="1:6" s="30" customFormat="1" ht="12" customHeight="1" thickBot="1">
      <c r="A33" s="303" t="s">
        <v>168</v>
      </c>
      <c r="B33" s="286" t="s">
        <v>135</v>
      </c>
      <c r="C33" s="214" t="s">
        <v>170</v>
      </c>
      <c r="D33" s="279"/>
      <c r="E33" s="279"/>
      <c r="F33" s="279"/>
    </row>
    <row r="34" spans="1:6" s="27" customFormat="1" ht="12" customHeight="1" thickBot="1">
      <c r="A34" s="299" t="s">
        <v>177</v>
      </c>
      <c r="B34" s="285" t="s">
        <v>5</v>
      </c>
      <c r="C34" s="208" t="s">
        <v>14</v>
      </c>
      <c r="D34" s="278"/>
      <c r="E34" s="278"/>
      <c r="F34" s="278"/>
    </row>
    <row r="35" spans="1:6" s="27" customFormat="1" ht="12" customHeight="1" thickBot="1">
      <c r="A35" s="299" t="s">
        <v>190</v>
      </c>
      <c r="B35" s="285" t="s">
        <v>6</v>
      </c>
      <c r="C35" s="208" t="s">
        <v>15</v>
      </c>
      <c r="D35" s="280"/>
      <c r="E35" s="280"/>
      <c r="F35" s="280"/>
    </row>
    <row r="36" spans="1:6" s="27" customFormat="1" ht="12" customHeight="1" thickBot="1">
      <c r="A36" s="299" t="s">
        <v>203</v>
      </c>
      <c r="B36" s="297" t="s">
        <v>7</v>
      </c>
      <c r="C36" s="208" t="s">
        <v>584</v>
      </c>
      <c r="D36" s="281">
        <f>D8+D20+D25+D26+D30+D34+D35</f>
        <v>2600000</v>
      </c>
      <c r="E36" s="281">
        <f>E8+E20+E25+E26+E30+E34+E35</f>
        <v>2600000</v>
      </c>
      <c r="F36" s="281">
        <f>F8+F20+F25+F26+F30+F34+F35</f>
        <v>1279090</v>
      </c>
    </row>
    <row r="37" spans="1:6" s="27" customFormat="1" ht="12" customHeight="1" thickBot="1">
      <c r="A37" s="299" t="s">
        <v>230</v>
      </c>
      <c r="B37" s="305" t="s">
        <v>204</v>
      </c>
      <c r="C37" s="208" t="s">
        <v>510</v>
      </c>
      <c r="D37" s="281">
        <f>SUM(D38:D40)</f>
        <v>37174245</v>
      </c>
      <c r="E37" s="281">
        <f>SUM(E38:E40)</f>
        <v>32294245</v>
      </c>
      <c r="F37" s="281">
        <f>SUM(F38:F40)</f>
        <v>13150534</v>
      </c>
    </row>
    <row r="38" spans="1:6" s="27" customFormat="1" ht="12" customHeight="1">
      <c r="A38" s="300" t="s">
        <v>215</v>
      </c>
      <c r="B38" s="304" t="s">
        <v>511</v>
      </c>
      <c r="C38" s="211" t="s">
        <v>512</v>
      </c>
      <c r="D38" s="125">
        <f>4349132+209984</f>
        <v>4559116</v>
      </c>
      <c r="E38" s="125">
        <f>4349132+209984</f>
        <v>4559116</v>
      </c>
      <c r="F38" s="125">
        <v>4562534</v>
      </c>
    </row>
    <row r="39" spans="1:6" s="27" customFormat="1" ht="12" customHeight="1">
      <c r="A39" s="302" t="s">
        <v>218</v>
      </c>
      <c r="B39" s="304" t="s">
        <v>513</v>
      </c>
      <c r="C39" s="213" t="s">
        <v>585</v>
      </c>
      <c r="D39" s="110"/>
      <c r="E39" s="110"/>
      <c r="F39" s="110"/>
    </row>
    <row r="40" spans="1:6" s="30" customFormat="1" ht="12" customHeight="1" thickBot="1">
      <c r="A40" s="303" t="s">
        <v>515</v>
      </c>
      <c r="B40" s="286" t="s">
        <v>516</v>
      </c>
      <c r="C40" s="214" t="s">
        <v>517</v>
      </c>
      <c r="D40" s="279">
        <v>32615129</v>
      </c>
      <c r="E40" s="279">
        <f>32615129-4880000</f>
        <v>27735129</v>
      </c>
      <c r="F40" s="279">
        <v>8588000</v>
      </c>
    </row>
    <row r="41" spans="1:6" s="30" customFormat="1" ht="15" customHeight="1" thickBot="1">
      <c r="A41" s="299" t="s">
        <v>518</v>
      </c>
      <c r="B41" s="305" t="s">
        <v>303</v>
      </c>
      <c r="C41" s="306" t="s">
        <v>519</v>
      </c>
      <c r="D41" s="307">
        <f>D36+D37</f>
        <v>39774245</v>
      </c>
      <c r="E41" s="307">
        <f>E36+E37</f>
        <v>34894245</v>
      </c>
      <c r="F41" s="307">
        <f>F36+F37</f>
        <v>14429624</v>
      </c>
    </row>
    <row r="42" spans="1:6" s="30" customFormat="1" ht="15" customHeight="1">
      <c r="A42" s="282"/>
      <c r="B42" s="56"/>
      <c r="C42" s="57"/>
      <c r="D42" s="58"/>
      <c r="E42" s="58"/>
      <c r="F42" s="58"/>
    </row>
    <row r="43" spans="2:6" ht="13.5" thickBot="1">
      <c r="B43" s="223"/>
      <c r="C43" s="40"/>
      <c r="D43" s="224"/>
      <c r="E43" s="224"/>
      <c r="F43" s="224"/>
    </row>
    <row r="44" spans="1:6" s="20" customFormat="1" ht="16.5" customHeight="1" thickBot="1">
      <c r="A44" s="283" t="s">
        <v>39</v>
      </c>
      <c r="B44" s="284"/>
      <c r="C44" s="179" t="s">
        <v>235</v>
      </c>
      <c r="D44" s="307"/>
      <c r="E44" s="307"/>
      <c r="F44" s="307"/>
    </row>
    <row r="45" spans="1:6" s="66" customFormat="1" ht="12" customHeight="1" thickBot="1">
      <c r="A45" s="189" t="s">
        <v>520</v>
      </c>
      <c r="B45" s="285" t="s">
        <v>0</v>
      </c>
      <c r="C45" s="208" t="s">
        <v>521</v>
      </c>
      <c r="D45" s="106">
        <f>SUM(D46:D50)</f>
        <v>39774245</v>
      </c>
      <c r="E45" s="106">
        <f>SUM(E46:E50)</f>
        <v>34894245</v>
      </c>
      <c r="F45" s="106">
        <f>SUM(F46:F50)</f>
        <v>11425852</v>
      </c>
    </row>
    <row r="46" spans="1:6" ht="12" customHeight="1">
      <c r="A46" s="308" t="s">
        <v>236</v>
      </c>
      <c r="B46" s="286" t="s">
        <v>46</v>
      </c>
      <c r="C46" s="206" t="s">
        <v>237</v>
      </c>
      <c r="D46" s="125">
        <v>14724450</v>
      </c>
      <c r="E46" s="125">
        <v>14724450</v>
      </c>
      <c r="F46" s="125">
        <v>6696926</v>
      </c>
    </row>
    <row r="47" spans="1:6" ht="12" customHeight="1">
      <c r="A47" s="309" t="s">
        <v>238</v>
      </c>
      <c r="B47" s="286" t="s">
        <v>49</v>
      </c>
      <c r="C47" s="198" t="s">
        <v>8</v>
      </c>
      <c r="D47" s="113">
        <v>2797645</v>
      </c>
      <c r="E47" s="113">
        <v>2797645</v>
      </c>
      <c r="F47" s="113">
        <v>1260096</v>
      </c>
    </row>
    <row r="48" spans="1:6" ht="12" customHeight="1">
      <c r="A48" s="309" t="s">
        <v>239</v>
      </c>
      <c r="B48" s="286" t="s">
        <v>52</v>
      </c>
      <c r="C48" s="198" t="s">
        <v>240</v>
      </c>
      <c r="D48" s="113">
        <v>22252150</v>
      </c>
      <c r="E48" s="113">
        <f>22252150-4880000</f>
        <v>17372150</v>
      </c>
      <c r="F48" s="113">
        <v>3468830</v>
      </c>
    </row>
    <row r="49" spans="1:6" ht="12" customHeight="1">
      <c r="A49" s="309" t="s">
        <v>241</v>
      </c>
      <c r="B49" s="286" t="s">
        <v>55</v>
      </c>
      <c r="C49" s="198" t="s">
        <v>9</v>
      </c>
      <c r="D49" s="113"/>
      <c r="E49" s="113"/>
      <c r="F49" s="113"/>
    </row>
    <row r="50" spans="1:6" ht="12" customHeight="1" thickBot="1">
      <c r="A50" s="310" t="s">
        <v>242</v>
      </c>
      <c r="B50" s="286" t="s">
        <v>58</v>
      </c>
      <c r="C50" s="198" t="s">
        <v>10</v>
      </c>
      <c r="D50" s="113"/>
      <c r="E50" s="113"/>
      <c r="F50" s="113"/>
    </row>
    <row r="51" spans="1:6" ht="12" customHeight="1" thickBot="1">
      <c r="A51" s="189" t="s">
        <v>522</v>
      </c>
      <c r="B51" s="285" t="s">
        <v>1</v>
      </c>
      <c r="C51" s="208" t="s">
        <v>586</v>
      </c>
      <c r="D51" s="106">
        <f>SUM(D52:D54)</f>
        <v>0</v>
      </c>
      <c r="E51" s="106">
        <f>SUM(E52:E54)</f>
        <v>0</v>
      </c>
      <c r="F51" s="106">
        <f>SUM(F52:F54)</f>
        <v>2265281</v>
      </c>
    </row>
    <row r="52" spans="1:6" s="66" customFormat="1" ht="12" customHeight="1">
      <c r="A52" s="308" t="s">
        <v>279</v>
      </c>
      <c r="B52" s="286" t="s">
        <v>66</v>
      </c>
      <c r="C52" s="206" t="s">
        <v>11</v>
      </c>
      <c r="D52" s="125"/>
      <c r="E52" s="125"/>
      <c r="F52" s="125">
        <v>2265281</v>
      </c>
    </row>
    <row r="53" spans="1:6" ht="12" customHeight="1">
      <c r="A53" s="309" t="s">
        <v>280</v>
      </c>
      <c r="B53" s="286" t="s">
        <v>69</v>
      </c>
      <c r="C53" s="198" t="s">
        <v>12</v>
      </c>
      <c r="D53" s="113"/>
      <c r="E53" s="113"/>
      <c r="F53" s="113"/>
    </row>
    <row r="54" spans="1:6" ht="12" customHeight="1">
      <c r="A54" s="309" t="s">
        <v>281</v>
      </c>
      <c r="B54" s="286" t="s">
        <v>72</v>
      </c>
      <c r="C54" s="198" t="s">
        <v>524</v>
      </c>
      <c r="D54" s="113"/>
      <c r="E54" s="113"/>
      <c r="F54" s="113"/>
    </row>
    <row r="55" spans="1:6" ht="12" customHeight="1" thickBot="1">
      <c r="A55" s="310" t="s">
        <v>281</v>
      </c>
      <c r="B55" s="286" t="s">
        <v>75</v>
      </c>
      <c r="C55" s="198" t="s">
        <v>525</v>
      </c>
      <c r="D55" s="113"/>
      <c r="E55" s="113"/>
      <c r="F55" s="113"/>
    </row>
    <row r="56" spans="1:6" ht="15" customHeight="1" thickBot="1">
      <c r="A56" s="189" t="s">
        <v>526</v>
      </c>
      <c r="B56" s="285" t="s">
        <v>2</v>
      </c>
      <c r="C56" s="208" t="s">
        <v>389</v>
      </c>
      <c r="D56" s="278">
        <v>0</v>
      </c>
      <c r="E56" s="278">
        <v>0</v>
      </c>
      <c r="F56" s="278">
        <v>0</v>
      </c>
    </row>
    <row r="57" spans="1:6" ht="13.5" thickBot="1">
      <c r="A57" s="189" t="s">
        <v>528</v>
      </c>
      <c r="B57" s="285" t="s">
        <v>3</v>
      </c>
      <c r="C57" s="233" t="s">
        <v>529</v>
      </c>
      <c r="D57" s="288">
        <f>D45+D51+D56</f>
        <v>39774245</v>
      </c>
      <c r="E57" s="288">
        <f>E45+E51+E56</f>
        <v>34894245</v>
      </c>
      <c r="F57" s="288">
        <f>F45+F51+F56</f>
        <v>13691133</v>
      </c>
    </row>
    <row r="58" spans="4:6" ht="15" customHeight="1">
      <c r="D58" s="236"/>
      <c r="E58" s="236"/>
      <c r="F58" s="236"/>
    </row>
    <row r="59" spans="2:6" ht="14.25" customHeight="1">
      <c r="B59" s="93"/>
      <c r="C59" s="94"/>
      <c r="D59" s="95"/>
      <c r="E59" s="95"/>
      <c r="F59" s="95"/>
    </row>
    <row r="60" spans="2:6" ht="12.75">
      <c r="B60" s="93"/>
      <c r="C60" s="94"/>
      <c r="D60" s="95"/>
      <c r="E60" s="95"/>
      <c r="F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  <headerFooter>
    <oddHeader>&amp;Ra 12/2020. (VII. 10.) önkormányzati rendelet 11.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SheetLayoutView="100" workbookViewId="0" topLeftCell="A14">
      <selection activeCell="C2" sqref="C2"/>
    </sheetView>
  </sheetViews>
  <sheetFormatPr defaultColWidth="9.00390625" defaultRowHeight="12.75"/>
  <cols>
    <col min="1" max="1" width="14.00390625" style="15" customWidth="1"/>
    <col min="2" max="2" width="13.875" style="235" customWidth="1"/>
    <col min="3" max="3" width="79.125" style="15" customWidth="1"/>
    <col min="4" max="6" width="25.00390625" style="15" customWidth="1"/>
    <col min="7" max="16384" width="9.375" style="15" customWidth="1"/>
  </cols>
  <sheetData>
    <row r="1" spans="2:6" s="1" customFormat="1" ht="21" customHeight="1" thickBot="1">
      <c r="B1" s="2"/>
      <c r="C1" s="3"/>
      <c r="D1" s="167"/>
      <c r="E1" s="167"/>
      <c r="F1" s="167"/>
    </row>
    <row r="2" spans="1:6" s="9" customFormat="1" ht="35.25" customHeight="1" thickBot="1">
      <c r="A2" s="168" t="s">
        <v>39</v>
      </c>
      <c r="B2" s="169" t="s">
        <v>492</v>
      </c>
      <c r="C2" s="10" t="s">
        <v>1049</v>
      </c>
      <c r="D2" s="170"/>
      <c r="E2" s="170"/>
      <c r="F2" s="170"/>
    </row>
    <row r="3" spans="1:6" s="9" customFormat="1" ht="24.75" thickBot="1">
      <c r="A3" s="171"/>
      <c r="B3" s="172" t="s">
        <v>37</v>
      </c>
      <c r="C3" s="10" t="s">
        <v>38</v>
      </c>
      <c r="D3" s="173"/>
      <c r="E3" s="173"/>
      <c r="F3" s="173"/>
    </row>
    <row r="4" spans="1:6" s="177" customFormat="1" ht="15.75" customHeight="1" thickBot="1">
      <c r="A4" s="174"/>
      <c r="B4" s="175"/>
      <c r="C4" s="272" t="s">
        <v>580</v>
      </c>
      <c r="D4" s="176"/>
      <c r="E4" s="176"/>
      <c r="F4" s="176" t="s">
        <v>587</v>
      </c>
    </row>
    <row r="5" spans="1:6" ht="24.75" thickBot="1">
      <c r="A5" s="178"/>
      <c r="B5" s="179" t="s">
        <v>40</v>
      </c>
      <c r="C5" s="180" t="s">
        <v>41</v>
      </c>
      <c r="D5" s="181" t="s">
        <v>1072</v>
      </c>
      <c r="E5" s="181" t="s">
        <v>1082</v>
      </c>
      <c r="F5" s="181" t="s">
        <v>1087</v>
      </c>
    </row>
    <row r="6" spans="1:6" s="20" customFormat="1" ht="12.75" customHeight="1" thickBot="1">
      <c r="A6" s="182"/>
      <c r="B6" s="183"/>
      <c r="C6" s="184"/>
      <c r="D6" s="185"/>
      <c r="E6" s="185"/>
      <c r="F6" s="185"/>
    </row>
    <row r="7" spans="1:6" s="20" customFormat="1" ht="15.75" customHeight="1" thickBot="1">
      <c r="A7" s="182"/>
      <c r="B7" s="187"/>
      <c r="C7" s="187" t="s">
        <v>42</v>
      </c>
      <c r="D7" s="188"/>
      <c r="E7" s="188"/>
      <c r="F7" s="188"/>
    </row>
    <row r="8" spans="1:6" s="27" customFormat="1" ht="12" customHeight="1" thickBot="1">
      <c r="A8" s="189" t="s">
        <v>126</v>
      </c>
      <c r="B8" s="183" t="s">
        <v>0</v>
      </c>
      <c r="C8" s="190" t="s">
        <v>494</v>
      </c>
      <c r="D8" s="106">
        <f>SUM(D9:D19)</f>
        <v>61563725</v>
      </c>
      <c r="E8" s="106">
        <f>SUM(E9:E19)</f>
        <v>61563725</v>
      </c>
      <c r="F8" s="106">
        <f>SUM(F9:F19)</f>
        <v>17766062</v>
      </c>
    </row>
    <row r="9" spans="1:6" s="27" customFormat="1" ht="12" customHeight="1">
      <c r="A9" s="192" t="s">
        <v>128</v>
      </c>
      <c r="B9" s="193" t="s">
        <v>46</v>
      </c>
      <c r="C9" s="194" t="s">
        <v>130</v>
      </c>
      <c r="D9" s="275"/>
      <c r="E9" s="275"/>
      <c r="F9" s="275"/>
    </row>
    <row r="10" spans="1:6" s="27" customFormat="1" ht="12" customHeight="1">
      <c r="A10" s="196" t="s">
        <v>131</v>
      </c>
      <c r="B10" s="197" t="s">
        <v>49</v>
      </c>
      <c r="C10" s="198" t="s">
        <v>133</v>
      </c>
      <c r="D10" s="311">
        <v>11497986</v>
      </c>
      <c r="E10" s="311">
        <v>11497986</v>
      </c>
      <c r="F10" s="311">
        <v>2027629</v>
      </c>
    </row>
    <row r="11" spans="1:6" s="27" customFormat="1" ht="12" customHeight="1">
      <c r="A11" s="196" t="s">
        <v>134</v>
      </c>
      <c r="B11" s="197" t="s">
        <v>52</v>
      </c>
      <c r="C11" s="198" t="s">
        <v>136</v>
      </c>
      <c r="D11" s="102"/>
      <c r="E11" s="102"/>
      <c r="F11" s="102"/>
    </row>
    <row r="12" spans="1:6" s="27" customFormat="1" ht="12" customHeight="1">
      <c r="A12" s="196" t="s">
        <v>137</v>
      </c>
      <c r="B12" s="197" t="s">
        <v>55</v>
      </c>
      <c r="C12" s="198" t="s">
        <v>139</v>
      </c>
      <c r="D12" s="102"/>
      <c r="E12" s="102"/>
      <c r="F12" s="102"/>
    </row>
    <row r="13" spans="1:6" s="27" customFormat="1" ht="12" customHeight="1">
      <c r="A13" s="196" t="s">
        <v>140</v>
      </c>
      <c r="B13" s="197" t="s">
        <v>58</v>
      </c>
      <c r="C13" s="198" t="s">
        <v>142</v>
      </c>
      <c r="D13" s="311">
        <v>39421842</v>
      </c>
      <c r="E13" s="311">
        <v>39421842</v>
      </c>
      <c r="F13" s="311">
        <v>12008005</v>
      </c>
    </row>
    <row r="14" spans="1:6" s="27" customFormat="1" ht="12" customHeight="1">
      <c r="A14" s="196" t="s">
        <v>143</v>
      </c>
      <c r="B14" s="197" t="s">
        <v>61</v>
      </c>
      <c r="C14" s="198" t="s">
        <v>495</v>
      </c>
      <c r="D14" s="311">
        <v>10643897</v>
      </c>
      <c r="E14" s="311">
        <v>10643897</v>
      </c>
      <c r="F14" s="311">
        <v>3730427</v>
      </c>
    </row>
    <row r="15" spans="1:6" s="27" customFormat="1" ht="12" customHeight="1">
      <c r="A15" s="196" t="s">
        <v>146</v>
      </c>
      <c r="B15" s="197" t="s">
        <v>245</v>
      </c>
      <c r="C15" s="201" t="s">
        <v>496</v>
      </c>
      <c r="D15" s="102"/>
      <c r="E15" s="102"/>
      <c r="F15" s="102"/>
    </row>
    <row r="16" spans="1:6" s="27" customFormat="1" ht="12" customHeight="1">
      <c r="A16" s="196" t="s">
        <v>149</v>
      </c>
      <c r="B16" s="197" t="s">
        <v>248</v>
      </c>
      <c r="C16" s="198" t="s">
        <v>497</v>
      </c>
      <c r="D16" s="276"/>
      <c r="E16" s="276"/>
      <c r="F16" s="276">
        <v>1</v>
      </c>
    </row>
    <row r="17" spans="1:6" s="30" customFormat="1" ht="12" customHeight="1">
      <c r="A17" s="196" t="s">
        <v>152</v>
      </c>
      <c r="B17" s="197" t="s">
        <v>251</v>
      </c>
      <c r="C17" s="198" t="s">
        <v>154</v>
      </c>
      <c r="D17" s="102"/>
      <c r="E17" s="102"/>
      <c r="F17" s="102"/>
    </row>
    <row r="18" spans="1:6" s="30" customFormat="1" ht="12" customHeight="1">
      <c r="A18" s="196" t="s">
        <v>155</v>
      </c>
      <c r="B18" s="197" t="s">
        <v>254</v>
      </c>
      <c r="C18" s="198" t="s">
        <v>157</v>
      </c>
      <c r="D18" s="277"/>
      <c r="E18" s="277"/>
      <c r="F18" s="277"/>
    </row>
    <row r="19" spans="1:6" s="30" customFormat="1" ht="12" customHeight="1" thickBot="1">
      <c r="A19" s="204" t="s">
        <v>155</v>
      </c>
      <c r="B19" s="197" t="s">
        <v>257</v>
      </c>
      <c r="C19" s="201" t="s">
        <v>159</v>
      </c>
      <c r="D19" s="277"/>
      <c r="E19" s="277"/>
      <c r="F19" s="277"/>
    </row>
    <row r="20" spans="1:6" s="27" customFormat="1" ht="12" customHeight="1" thickBot="1">
      <c r="A20" s="189" t="s">
        <v>63</v>
      </c>
      <c r="B20" s="183" t="s">
        <v>1</v>
      </c>
      <c r="C20" s="190" t="s">
        <v>498</v>
      </c>
      <c r="D20" s="106">
        <f>SUM(D21:D24)</f>
        <v>0</v>
      </c>
      <c r="E20" s="106">
        <f>SUM(E21:E24)</f>
        <v>0</v>
      </c>
      <c r="F20" s="106">
        <f>SUM(F21:F24)</f>
        <v>0</v>
      </c>
    </row>
    <row r="21" spans="1:6" s="30" customFormat="1" ht="12" customHeight="1">
      <c r="A21" s="192" t="s">
        <v>65</v>
      </c>
      <c r="B21" s="197" t="s">
        <v>66</v>
      </c>
      <c r="C21" s="206" t="s">
        <v>67</v>
      </c>
      <c r="D21" s="102"/>
      <c r="E21" s="102"/>
      <c r="F21" s="102"/>
    </row>
    <row r="22" spans="1:6" s="30" customFormat="1" ht="12" customHeight="1">
      <c r="A22" s="196" t="s">
        <v>71</v>
      </c>
      <c r="B22" s="197" t="s">
        <v>69</v>
      </c>
      <c r="C22" s="198" t="s">
        <v>499</v>
      </c>
      <c r="D22" s="102"/>
      <c r="E22" s="102"/>
      <c r="F22" s="102"/>
    </row>
    <row r="23" spans="1:6" s="30" customFormat="1" ht="12" customHeight="1">
      <c r="A23" s="196" t="s">
        <v>77</v>
      </c>
      <c r="B23" s="197" t="s">
        <v>72</v>
      </c>
      <c r="C23" s="198" t="s">
        <v>500</v>
      </c>
      <c r="D23" s="102"/>
      <c r="E23" s="102"/>
      <c r="F23" s="102"/>
    </row>
    <row r="24" spans="1:6" s="30" customFormat="1" ht="12" customHeight="1" thickBot="1">
      <c r="A24" s="204" t="s">
        <v>77</v>
      </c>
      <c r="B24" s="197" t="s">
        <v>75</v>
      </c>
      <c r="C24" s="198" t="s">
        <v>581</v>
      </c>
      <c r="D24" s="102"/>
      <c r="E24" s="102"/>
      <c r="F24" s="102"/>
    </row>
    <row r="25" spans="1:6" s="30" customFormat="1" ht="12" customHeight="1" thickBot="1">
      <c r="A25" s="189" t="s">
        <v>101</v>
      </c>
      <c r="B25" s="207" t="s">
        <v>2</v>
      </c>
      <c r="C25" s="208" t="s">
        <v>13</v>
      </c>
      <c r="D25" s="278">
        <v>0</v>
      </c>
      <c r="E25" s="278">
        <v>0</v>
      </c>
      <c r="F25" s="278">
        <v>0</v>
      </c>
    </row>
    <row r="26" spans="1:6" s="30" customFormat="1" ht="12" customHeight="1" thickBot="1">
      <c r="A26" s="189" t="s">
        <v>82</v>
      </c>
      <c r="B26" s="207" t="s">
        <v>3</v>
      </c>
      <c r="C26" s="208" t="s">
        <v>582</v>
      </c>
      <c r="D26" s="106">
        <f>SUM(D27:D29)</f>
        <v>0</v>
      </c>
      <c r="E26" s="106">
        <f>SUM(E27:E29)</f>
        <v>0</v>
      </c>
      <c r="F26" s="106">
        <f>SUM(F27:F29)</f>
        <v>0</v>
      </c>
    </row>
    <row r="27" spans="1:6" s="30" customFormat="1" ht="12" customHeight="1">
      <c r="A27" s="192" t="s">
        <v>84</v>
      </c>
      <c r="B27" s="210" t="s">
        <v>105</v>
      </c>
      <c r="C27" s="211" t="s">
        <v>499</v>
      </c>
      <c r="D27" s="125"/>
      <c r="E27" s="125"/>
      <c r="F27" s="125"/>
    </row>
    <row r="28" spans="1:6" s="30" customFormat="1" ht="12" customHeight="1">
      <c r="A28" s="196" t="s">
        <v>96</v>
      </c>
      <c r="B28" s="210" t="s">
        <v>503</v>
      </c>
      <c r="C28" s="213" t="s">
        <v>505</v>
      </c>
      <c r="D28" s="110"/>
      <c r="E28" s="110"/>
      <c r="F28" s="110"/>
    </row>
    <row r="29" spans="1:6" s="30" customFormat="1" ht="12" customHeight="1" thickBot="1">
      <c r="A29" s="204" t="s">
        <v>96</v>
      </c>
      <c r="B29" s="197" t="s">
        <v>504</v>
      </c>
      <c r="C29" s="214" t="s">
        <v>583</v>
      </c>
      <c r="D29" s="279"/>
      <c r="E29" s="279"/>
      <c r="F29" s="279"/>
    </row>
    <row r="30" spans="1:6" s="30" customFormat="1" ht="12" customHeight="1" thickBot="1">
      <c r="A30" s="189" t="s">
        <v>160</v>
      </c>
      <c r="B30" s="207" t="s">
        <v>4</v>
      </c>
      <c r="C30" s="208" t="s">
        <v>508</v>
      </c>
      <c r="D30" s="106">
        <f>SUM(D31:D33)</f>
        <v>0</v>
      </c>
      <c r="E30" s="106">
        <f>SUM(E31:E33)</f>
        <v>0</v>
      </c>
      <c r="F30" s="106">
        <f>SUM(F31:F33)</f>
        <v>0</v>
      </c>
    </row>
    <row r="31" spans="1:6" s="30" customFormat="1" ht="12" customHeight="1">
      <c r="A31" s="192" t="s">
        <v>162</v>
      </c>
      <c r="B31" s="210" t="s">
        <v>129</v>
      </c>
      <c r="C31" s="211" t="s">
        <v>164</v>
      </c>
      <c r="D31" s="125"/>
      <c r="E31" s="125"/>
      <c r="F31" s="125"/>
    </row>
    <row r="32" spans="1:6" s="30" customFormat="1" ht="12" customHeight="1">
      <c r="A32" s="196" t="s">
        <v>165</v>
      </c>
      <c r="B32" s="210" t="s">
        <v>132</v>
      </c>
      <c r="C32" s="213" t="s">
        <v>167</v>
      </c>
      <c r="D32" s="110"/>
      <c r="E32" s="110"/>
      <c r="F32" s="110"/>
    </row>
    <row r="33" spans="1:6" s="30" customFormat="1" ht="12" customHeight="1" thickBot="1">
      <c r="A33" s="204" t="s">
        <v>168</v>
      </c>
      <c r="B33" s="197" t="s">
        <v>135</v>
      </c>
      <c r="C33" s="214" t="s">
        <v>170</v>
      </c>
      <c r="D33" s="279"/>
      <c r="E33" s="279"/>
      <c r="F33" s="279"/>
    </row>
    <row r="34" spans="1:6" s="27" customFormat="1" ht="12" customHeight="1" thickBot="1">
      <c r="A34" s="189" t="s">
        <v>177</v>
      </c>
      <c r="B34" s="207" t="s">
        <v>5</v>
      </c>
      <c r="C34" s="208" t="s">
        <v>14</v>
      </c>
      <c r="D34" s="278">
        <v>0</v>
      </c>
      <c r="E34" s="278">
        <v>0</v>
      </c>
      <c r="F34" s="278">
        <v>0</v>
      </c>
    </row>
    <row r="35" spans="1:6" s="27" customFormat="1" ht="12" customHeight="1" thickBot="1">
      <c r="A35" s="189" t="s">
        <v>190</v>
      </c>
      <c r="B35" s="207" t="s">
        <v>6</v>
      </c>
      <c r="C35" s="208" t="s">
        <v>15</v>
      </c>
      <c r="D35" s="280">
        <v>0</v>
      </c>
      <c r="E35" s="280">
        <v>0</v>
      </c>
      <c r="F35" s="280">
        <v>0</v>
      </c>
    </row>
    <row r="36" spans="1:6" s="27" customFormat="1" ht="12" customHeight="1" thickBot="1">
      <c r="A36" s="189" t="s">
        <v>203</v>
      </c>
      <c r="B36" s="183" t="s">
        <v>7</v>
      </c>
      <c r="C36" s="208" t="s">
        <v>584</v>
      </c>
      <c r="D36" s="281">
        <f>D8+D20+D25+D26+D30</f>
        <v>61563725</v>
      </c>
      <c r="E36" s="281">
        <f>E8+E20+E25+E26+E30</f>
        <v>61563725</v>
      </c>
      <c r="F36" s="281">
        <f>F8+F20+F25+F26+F30</f>
        <v>17766062</v>
      </c>
    </row>
    <row r="37" spans="1:6" s="27" customFormat="1" ht="12" customHeight="1" thickBot="1">
      <c r="A37" s="189" t="s">
        <v>230</v>
      </c>
      <c r="B37" s="219" t="s">
        <v>204</v>
      </c>
      <c r="C37" s="208" t="s">
        <v>510</v>
      </c>
      <c r="D37" s="281">
        <f>SUM(D38:D40)</f>
        <v>86313779</v>
      </c>
      <c r="E37" s="281">
        <f>SUM(E38:E40)</f>
        <v>64813779</v>
      </c>
      <c r="F37" s="281">
        <f>SUM(F38:F40)</f>
        <v>34554273</v>
      </c>
    </row>
    <row r="38" spans="1:6" s="27" customFormat="1" ht="12" customHeight="1">
      <c r="A38" s="192" t="s">
        <v>215</v>
      </c>
      <c r="B38" s="210" t="s">
        <v>511</v>
      </c>
      <c r="C38" s="211" t="s">
        <v>512</v>
      </c>
      <c r="D38" s="125">
        <f>55885+1971047</f>
        <v>2026932</v>
      </c>
      <c r="E38" s="125">
        <f>55885+1971047</f>
        <v>2026932</v>
      </c>
      <c r="F38" s="125">
        <v>1522065</v>
      </c>
    </row>
    <row r="39" spans="1:6" s="27" customFormat="1" ht="12" customHeight="1">
      <c r="A39" s="196" t="s">
        <v>218</v>
      </c>
      <c r="B39" s="210" t="s">
        <v>513</v>
      </c>
      <c r="C39" s="213" t="s">
        <v>585</v>
      </c>
      <c r="D39" s="110"/>
      <c r="E39" s="110"/>
      <c r="F39" s="110"/>
    </row>
    <row r="40" spans="1:6" s="30" customFormat="1" ht="12" customHeight="1" thickBot="1">
      <c r="A40" s="196" t="s">
        <v>515</v>
      </c>
      <c r="B40" s="197" t="s">
        <v>516</v>
      </c>
      <c r="C40" s="214" t="s">
        <v>517</v>
      </c>
      <c r="D40" s="279">
        <v>84286847</v>
      </c>
      <c r="E40" s="279">
        <f>84286847-21500000</f>
        <v>62786847</v>
      </c>
      <c r="F40" s="279">
        <v>33032208</v>
      </c>
    </row>
    <row r="41" spans="1:6" s="30" customFormat="1" ht="15" customHeight="1" thickBot="1">
      <c r="A41" s="220" t="s">
        <v>518</v>
      </c>
      <c r="B41" s="219" t="s">
        <v>303</v>
      </c>
      <c r="C41" s="221" t="s">
        <v>519</v>
      </c>
      <c r="D41" s="227">
        <f>D36+D37</f>
        <v>147877504</v>
      </c>
      <c r="E41" s="227">
        <f>E36+E37</f>
        <v>126377504</v>
      </c>
      <c r="F41" s="227">
        <f>F36+F37</f>
        <v>52320335</v>
      </c>
    </row>
    <row r="42" spans="1:6" s="30" customFormat="1" ht="15" customHeight="1">
      <c r="A42" s="282"/>
      <c r="B42" s="56"/>
      <c r="C42" s="57"/>
      <c r="D42" s="58"/>
      <c r="E42" s="58"/>
      <c r="F42" s="58"/>
    </row>
    <row r="43" spans="2:6" ht="13.5" thickBot="1">
      <c r="B43" s="223"/>
      <c r="C43" s="40"/>
      <c r="D43" s="224"/>
      <c r="E43" s="224"/>
      <c r="F43" s="224"/>
    </row>
    <row r="44" spans="1:6" s="20" customFormat="1" ht="16.5" customHeight="1" thickBot="1">
      <c r="A44" s="225" t="s">
        <v>39</v>
      </c>
      <c r="B44" s="284"/>
      <c r="C44" s="179" t="s">
        <v>235</v>
      </c>
      <c r="D44" s="227"/>
      <c r="E44" s="227"/>
      <c r="F44" s="227"/>
    </row>
    <row r="45" spans="1:6" s="66" customFormat="1" ht="12" customHeight="1" thickBot="1">
      <c r="A45" s="228" t="s">
        <v>520</v>
      </c>
      <c r="B45" s="285" t="s">
        <v>0</v>
      </c>
      <c r="C45" s="208" t="s">
        <v>521</v>
      </c>
      <c r="D45" s="106">
        <f>SUM(D46:D50)</f>
        <v>144067504</v>
      </c>
      <c r="E45" s="106">
        <f>SUM(E46:E50)</f>
        <v>122567504</v>
      </c>
      <c r="F45" s="106">
        <f>SUM(F46:F50)</f>
        <v>51137588</v>
      </c>
    </row>
    <row r="46" spans="1:6" ht="12" customHeight="1">
      <c r="A46" s="196" t="s">
        <v>236</v>
      </c>
      <c r="B46" s="286" t="s">
        <v>46</v>
      </c>
      <c r="C46" s="206" t="s">
        <v>237</v>
      </c>
      <c r="D46" s="312">
        <v>29536600</v>
      </c>
      <c r="E46" s="312">
        <v>29536600</v>
      </c>
      <c r="F46" s="312">
        <v>13017953</v>
      </c>
    </row>
    <row r="47" spans="1:6" ht="12" customHeight="1">
      <c r="A47" s="196" t="s">
        <v>238</v>
      </c>
      <c r="B47" s="286" t="s">
        <v>49</v>
      </c>
      <c r="C47" s="198" t="s">
        <v>8</v>
      </c>
      <c r="D47" s="125">
        <v>5611954</v>
      </c>
      <c r="E47" s="125">
        <v>5611954</v>
      </c>
      <c r="F47" s="125">
        <v>2637980</v>
      </c>
    </row>
    <row r="48" spans="1:6" ht="12" customHeight="1">
      <c r="A48" s="196" t="s">
        <v>239</v>
      </c>
      <c r="B48" s="286" t="s">
        <v>52</v>
      </c>
      <c r="C48" s="198" t="s">
        <v>240</v>
      </c>
      <c r="D48" s="113">
        <v>108918950</v>
      </c>
      <c r="E48" s="113">
        <f>108918950-21500000</f>
        <v>87418950</v>
      </c>
      <c r="F48" s="113">
        <v>35481655</v>
      </c>
    </row>
    <row r="49" spans="1:6" ht="12" customHeight="1">
      <c r="A49" s="196" t="s">
        <v>241</v>
      </c>
      <c r="B49" s="286" t="s">
        <v>55</v>
      </c>
      <c r="C49" s="198" t="s">
        <v>9</v>
      </c>
      <c r="D49" s="113"/>
      <c r="E49" s="113"/>
      <c r="F49" s="113"/>
    </row>
    <row r="50" spans="1:6" ht="12" customHeight="1" thickBot="1">
      <c r="A50" s="196" t="s">
        <v>242</v>
      </c>
      <c r="B50" s="286" t="s">
        <v>58</v>
      </c>
      <c r="C50" s="198" t="s">
        <v>10</v>
      </c>
      <c r="D50" s="113"/>
      <c r="E50" s="113"/>
      <c r="F50" s="113"/>
    </row>
    <row r="51" spans="1:6" ht="12" customHeight="1" thickBot="1">
      <c r="A51" s="228" t="s">
        <v>522</v>
      </c>
      <c r="B51" s="285" t="s">
        <v>1</v>
      </c>
      <c r="C51" s="208" t="s">
        <v>586</v>
      </c>
      <c r="D51" s="106">
        <f>SUM(D52:D54)</f>
        <v>3810000</v>
      </c>
      <c r="E51" s="106">
        <f>SUM(E52:E54)</f>
        <v>3810000</v>
      </c>
      <c r="F51" s="106">
        <f>SUM(F52:F54)</f>
        <v>42890</v>
      </c>
    </row>
    <row r="52" spans="1:6" s="66" customFormat="1" ht="12" customHeight="1">
      <c r="A52" s="196" t="s">
        <v>279</v>
      </c>
      <c r="B52" s="286" t="s">
        <v>66</v>
      </c>
      <c r="C52" s="206" t="s">
        <v>11</v>
      </c>
      <c r="D52" s="125">
        <v>1905000</v>
      </c>
      <c r="E52" s="125">
        <v>1905000</v>
      </c>
      <c r="F52" s="125">
        <v>42890</v>
      </c>
    </row>
    <row r="53" spans="1:6" ht="12" customHeight="1">
      <c r="A53" s="196" t="s">
        <v>280</v>
      </c>
      <c r="B53" s="286" t="s">
        <v>69</v>
      </c>
      <c r="C53" s="198" t="s">
        <v>12</v>
      </c>
      <c r="D53" s="113">
        <v>1905000</v>
      </c>
      <c r="E53" s="113">
        <v>1905000</v>
      </c>
      <c r="F53" s="113">
        <v>0</v>
      </c>
    </row>
    <row r="54" spans="1:6" ht="12" customHeight="1">
      <c r="A54" s="196" t="s">
        <v>281</v>
      </c>
      <c r="B54" s="286" t="s">
        <v>72</v>
      </c>
      <c r="C54" s="198" t="s">
        <v>524</v>
      </c>
      <c r="D54" s="113"/>
      <c r="E54" s="113"/>
      <c r="F54" s="113"/>
    </row>
    <row r="55" spans="1:6" ht="12" customHeight="1" thickBot="1">
      <c r="A55" s="196" t="s">
        <v>281</v>
      </c>
      <c r="B55" s="286" t="s">
        <v>75</v>
      </c>
      <c r="C55" s="198" t="s">
        <v>525</v>
      </c>
      <c r="D55" s="113"/>
      <c r="E55" s="113"/>
      <c r="F55" s="113"/>
    </row>
    <row r="56" spans="1:6" ht="15" customHeight="1" thickBot="1">
      <c r="A56" s="228" t="s">
        <v>526</v>
      </c>
      <c r="B56" s="285" t="s">
        <v>2</v>
      </c>
      <c r="C56" s="208" t="s">
        <v>389</v>
      </c>
      <c r="D56" s="278">
        <v>0</v>
      </c>
      <c r="E56" s="278">
        <v>0</v>
      </c>
      <c r="F56" s="278">
        <v>0</v>
      </c>
    </row>
    <row r="57" spans="1:6" ht="13.5" thickBot="1">
      <c r="A57" s="220" t="s">
        <v>528</v>
      </c>
      <c r="B57" s="285" t="s">
        <v>3</v>
      </c>
      <c r="C57" s="233" t="s">
        <v>529</v>
      </c>
      <c r="D57" s="288">
        <f>D45+D51+D56</f>
        <v>147877504</v>
      </c>
      <c r="E57" s="288">
        <f>E45+E51+E56</f>
        <v>126377504</v>
      </c>
      <c r="F57" s="288">
        <f>F45+F51+F56</f>
        <v>51180478</v>
      </c>
    </row>
    <row r="58" spans="4:6" ht="15" customHeight="1">
      <c r="D58" s="236"/>
      <c r="E58" s="236"/>
      <c r="F58" s="236"/>
    </row>
    <row r="59" spans="2:6" ht="14.25" customHeight="1">
      <c r="B59" s="93"/>
      <c r="C59" s="94"/>
      <c r="D59" s="95"/>
      <c r="E59" s="95"/>
      <c r="F59" s="95"/>
    </row>
    <row r="60" spans="2:6" ht="12.75">
      <c r="B60" s="93"/>
      <c r="C60" s="94"/>
      <c r="D60" s="95"/>
      <c r="E60" s="95"/>
      <c r="F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  <headerFooter>
    <oddHeader>&amp;Ra 12/2020. (VII. 10.) önkormányzati rendelet 12.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="115" zoomScaleSheetLayoutView="115" workbookViewId="0" topLeftCell="A26">
      <selection activeCell="C2" sqref="C2"/>
    </sheetView>
  </sheetViews>
  <sheetFormatPr defaultColWidth="9.00390625" defaultRowHeight="12.75"/>
  <cols>
    <col min="1" max="1" width="14.00390625" style="15" customWidth="1"/>
    <col min="2" max="2" width="13.875" style="235" customWidth="1"/>
    <col min="3" max="3" width="79.125" style="15" customWidth="1"/>
    <col min="4" max="6" width="25.00390625" style="15" customWidth="1"/>
    <col min="7" max="16384" width="9.375" style="15" customWidth="1"/>
  </cols>
  <sheetData>
    <row r="1" spans="2:6" s="1" customFormat="1" ht="21" customHeight="1" thickBot="1">
      <c r="B1" s="2"/>
      <c r="C1" s="3"/>
      <c r="D1" s="167"/>
      <c r="E1" s="167"/>
      <c r="F1" s="167"/>
    </row>
    <row r="2" spans="1:6" s="9" customFormat="1" ht="35.25" customHeight="1" thickBot="1">
      <c r="A2" s="12" t="s">
        <v>39</v>
      </c>
      <c r="B2" s="169" t="s">
        <v>492</v>
      </c>
      <c r="C2" s="10" t="s">
        <v>1048</v>
      </c>
      <c r="D2" s="170"/>
      <c r="E2" s="170"/>
      <c r="F2" s="170"/>
    </row>
    <row r="3" spans="1:6" s="9" customFormat="1" ht="24.75" thickBot="1">
      <c r="A3" s="270"/>
      <c r="B3" s="172" t="s">
        <v>37</v>
      </c>
      <c r="C3" s="10" t="s">
        <v>38</v>
      </c>
      <c r="D3" s="173"/>
      <c r="E3" s="173"/>
      <c r="F3" s="173"/>
    </row>
    <row r="4" spans="1:6" s="177" customFormat="1" ht="15.75" customHeight="1" thickBot="1">
      <c r="A4" s="313"/>
      <c r="B4" s="175"/>
      <c r="C4" s="272" t="s">
        <v>580</v>
      </c>
      <c r="D4" s="176"/>
      <c r="E4" s="176"/>
      <c r="F4" s="176" t="s">
        <v>493</v>
      </c>
    </row>
    <row r="5" spans="1:6" ht="24.75" thickBot="1">
      <c r="A5" s="273"/>
      <c r="B5" s="179" t="s">
        <v>40</v>
      </c>
      <c r="C5" s="180" t="s">
        <v>41</v>
      </c>
      <c r="D5" s="181" t="s">
        <v>1072</v>
      </c>
      <c r="E5" s="181" t="s">
        <v>1082</v>
      </c>
      <c r="F5" s="181" t="s">
        <v>1087</v>
      </c>
    </row>
    <row r="6" spans="1:6" s="20" customFormat="1" ht="12.75" customHeight="1" thickBot="1">
      <c r="A6" s="274"/>
      <c r="B6" s="183"/>
      <c r="C6" s="184"/>
      <c r="D6" s="185"/>
      <c r="E6" s="185"/>
      <c r="F6" s="185"/>
    </row>
    <row r="7" spans="1:6" s="20" customFormat="1" ht="15.75" customHeight="1" thickBot="1">
      <c r="A7" s="314"/>
      <c r="B7" s="187"/>
      <c r="C7" s="187" t="s">
        <v>42</v>
      </c>
      <c r="D7" s="188"/>
      <c r="E7" s="188"/>
      <c r="F7" s="188"/>
    </row>
    <row r="8" spans="1:6" s="27" customFormat="1" ht="12" customHeight="1" thickBot="1">
      <c r="A8" s="189" t="s">
        <v>126</v>
      </c>
      <c r="B8" s="183" t="s">
        <v>0</v>
      </c>
      <c r="C8" s="190" t="s">
        <v>494</v>
      </c>
      <c r="D8" s="106">
        <f>SUM(D9:D19)</f>
        <v>0</v>
      </c>
      <c r="E8" s="106">
        <f>SUM(E9:E19)</f>
        <v>0</v>
      </c>
      <c r="F8" s="106">
        <f>SUM(F9:F19)</f>
        <v>0</v>
      </c>
    </row>
    <row r="9" spans="1:6" s="27" customFormat="1" ht="12" customHeight="1">
      <c r="A9" s="192" t="s">
        <v>128</v>
      </c>
      <c r="B9" s="193" t="s">
        <v>46</v>
      </c>
      <c r="C9" s="194" t="s">
        <v>130</v>
      </c>
      <c r="D9" s="275"/>
      <c r="E9" s="275"/>
      <c r="F9" s="275"/>
    </row>
    <row r="10" spans="1:6" s="27" customFormat="1" ht="12" customHeight="1">
      <c r="A10" s="196" t="s">
        <v>131</v>
      </c>
      <c r="B10" s="197" t="s">
        <v>49</v>
      </c>
      <c r="C10" s="198" t="s">
        <v>133</v>
      </c>
      <c r="D10" s="102"/>
      <c r="E10" s="102"/>
      <c r="F10" s="102"/>
    </row>
    <row r="11" spans="1:6" s="27" customFormat="1" ht="12" customHeight="1">
      <c r="A11" s="196" t="s">
        <v>134</v>
      </c>
      <c r="B11" s="197" t="s">
        <v>52</v>
      </c>
      <c r="C11" s="198" t="s">
        <v>136</v>
      </c>
      <c r="D11" s="102"/>
      <c r="E11" s="102"/>
      <c r="F11" s="102"/>
    </row>
    <row r="12" spans="1:6" s="27" customFormat="1" ht="12" customHeight="1">
      <c r="A12" s="196" t="s">
        <v>137</v>
      </c>
      <c r="B12" s="197" t="s">
        <v>55</v>
      </c>
      <c r="C12" s="198" t="s">
        <v>139</v>
      </c>
      <c r="D12" s="102"/>
      <c r="E12" s="102"/>
      <c r="F12" s="102"/>
    </row>
    <row r="13" spans="1:6" s="27" customFormat="1" ht="12" customHeight="1">
      <c r="A13" s="196" t="s">
        <v>140</v>
      </c>
      <c r="B13" s="197" t="s">
        <v>58</v>
      </c>
      <c r="C13" s="198" t="s">
        <v>142</v>
      </c>
      <c r="D13" s="102"/>
      <c r="E13" s="102"/>
      <c r="F13" s="102"/>
    </row>
    <row r="14" spans="1:6" s="27" customFormat="1" ht="12" customHeight="1">
      <c r="A14" s="196" t="s">
        <v>143</v>
      </c>
      <c r="B14" s="197" t="s">
        <v>61</v>
      </c>
      <c r="C14" s="198" t="s">
        <v>495</v>
      </c>
      <c r="D14" s="102"/>
      <c r="E14" s="102"/>
      <c r="F14" s="102"/>
    </row>
    <row r="15" spans="1:6" s="27" customFormat="1" ht="12" customHeight="1">
      <c r="A15" s="196" t="s">
        <v>146</v>
      </c>
      <c r="B15" s="197" t="s">
        <v>245</v>
      </c>
      <c r="C15" s="201" t="s">
        <v>496</v>
      </c>
      <c r="D15" s="102"/>
      <c r="E15" s="102"/>
      <c r="F15" s="102"/>
    </row>
    <row r="16" spans="1:6" s="27" customFormat="1" ht="12" customHeight="1">
      <c r="A16" s="196" t="s">
        <v>149</v>
      </c>
      <c r="B16" s="197" t="s">
        <v>248</v>
      </c>
      <c r="C16" s="198" t="s">
        <v>497</v>
      </c>
      <c r="D16" s="276"/>
      <c r="E16" s="276"/>
      <c r="F16" s="276"/>
    </row>
    <row r="17" spans="1:6" s="30" customFormat="1" ht="12" customHeight="1">
      <c r="A17" s="196" t="s">
        <v>152</v>
      </c>
      <c r="B17" s="197" t="s">
        <v>251</v>
      </c>
      <c r="C17" s="198" t="s">
        <v>154</v>
      </c>
      <c r="D17" s="102"/>
      <c r="E17" s="102"/>
      <c r="F17" s="102"/>
    </row>
    <row r="18" spans="1:6" s="30" customFormat="1" ht="12" customHeight="1">
      <c r="A18" s="196" t="s">
        <v>155</v>
      </c>
      <c r="B18" s="197" t="s">
        <v>254</v>
      </c>
      <c r="C18" s="198" t="s">
        <v>157</v>
      </c>
      <c r="D18" s="277"/>
      <c r="E18" s="277"/>
      <c r="F18" s="277"/>
    </row>
    <row r="19" spans="1:6" s="30" customFormat="1" ht="12" customHeight="1" thickBot="1">
      <c r="A19" s="204" t="s">
        <v>155</v>
      </c>
      <c r="B19" s="197" t="s">
        <v>257</v>
      </c>
      <c r="C19" s="201" t="s">
        <v>159</v>
      </c>
      <c r="D19" s="277"/>
      <c r="E19" s="277"/>
      <c r="F19" s="277"/>
    </row>
    <row r="20" spans="1:6" s="27" customFormat="1" ht="12" customHeight="1" thickBot="1">
      <c r="A20" s="189" t="s">
        <v>63</v>
      </c>
      <c r="B20" s="183" t="s">
        <v>1</v>
      </c>
      <c r="C20" s="190" t="s">
        <v>498</v>
      </c>
      <c r="D20" s="106">
        <f>SUM(D21:D23)</f>
        <v>0</v>
      </c>
      <c r="E20" s="106">
        <f>SUM(E21:E23)</f>
        <v>0</v>
      </c>
      <c r="F20" s="106">
        <f>SUM(F21:F23)</f>
        <v>0</v>
      </c>
    </row>
    <row r="21" spans="1:6" s="30" customFormat="1" ht="12" customHeight="1">
      <c r="A21" s="192" t="s">
        <v>65</v>
      </c>
      <c r="B21" s="197" t="s">
        <v>66</v>
      </c>
      <c r="C21" s="206" t="s">
        <v>67</v>
      </c>
      <c r="D21" s="102"/>
      <c r="E21" s="102"/>
      <c r="F21" s="102"/>
    </row>
    <row r="22" spans="1:6" s="30" customFormat="1" ht="12" customHeight="1">
      <c r="A22" s="196" t="s">
        <v>71</v>
      </c>
      <c r="B22" s="197" t="s">
        <v>69</v>
      </c>
      <c r="C22" s="198" t="s">
        <v>499</v>
      </c>
      <c r="D22" s="102"/>
      <c r="E22" s="102"/>
      <c r="F22" s="102"/>
    </row>
    <row r="23" spans="1:6" s="30" customFormat="1" ht="12" customHeight="1">
      <c r="A23" s="196" t="s">
        <v>77</v>
      </c>
      <c r="B23" s="197" t="s">
        <v>72</v>
      </c>
      <c r="C23" s="198" t="s">
        <v>500</v>
      </c>
      <c r="D23" s="102"/>
      <c r="E23" s="102"/>
      <c r="F23" s="102"/>
    </row>
    <row r="24" spans="1:6" s="30" customFormat="1" ht="12" customHeight="1" thickBot="1">
      <c r="A24" s="204" t="s">
        <v>77</v>
      </c>
      <c r="B24" s="197" t="s">
        <v>75</v>
      </c>
      <c r="C24" s="198" t="s">
        <v>581</v>
      </c>
      <c r="D24" s="102"/>
      <c r="E24" s="102"/>
      <c r="F24" s="102"/>
    </row>
    <row r="25" spans="1:6" s="30" customFormat="1" ht="12" customHeight="1" thickBot="1">
      <c r="A25" s="189" t="s">
        <v>101</v>
      </c>
      <c r="B25" s="207" t="s">
        <v>2</v>
      </c>
      <c r="C25" s="208" t="s">
        <v>13</v>
      </c>
      <c r="D25" s="278"/>
      <c r="E25" s="278"/>
      <c r="F25" s="278"/>
    </row>
    <row r="26" spans="1:6" s="30" customFormat="1" ht="12" customHeight="1" thickBot="1">
      <c r="A26" s="189" t="s">
        <v>82</v>
      </c>
      <c r="B26" s="207" t="s">
        <v>3</v>
      </c>
      <c r="C26" s="208" t="s">
        <v>582</v>
      </c>
      <c r="D26" s="106">
        <f>SUM(D27:D28)</f>
        <v>0</v>
      </c>
      <c r="E26" s="106">
        <f>SUM(E27:E28)</f>
        <v>0</v>
      </c>
      <c r="F26" s="106">
        <f>SUM(F27:F28)</f>
        <v>0</v>
      </c>
    </row>
    <row r="27" spans="1:6" s="30" customFormat="1" ht="12" customHeight="1">
      <c r="A27" s="192" t="s">
        <v>84</v>
      </c>
      <c r="B27" s="210" t="s">
        <v>105</v>
      </c>
      <c r="C27" s="211" t="s">
        <v>499</v>
      </c>
      <c r="D27" s="125"/>
      <c r="E27" s="125"/>
      <c r="F27" s="125"/>
    </row>
    <row r="28" spans="1:6" s="30" customFormat="1" ht="12" customHeight="1">
      <c r="A28" s="196" t="s">
        <v>96</v>
      </c>
      <c r="B28" s="210" t="s">
        <v>503</v>
      </c>
      <c r="C28" s="213" t="s">
        <v>505</v>
      </c>
      <c r="D28" s="110"/>
      <c r="E28" s="110"/>
      <c r="F28" s="110"/>
    </row>
    <row r="29" spans="1:6" s="30" customFormat="1" ht="12" customHeight="1" thickBot="1">
      <c r="A29" s="204" t="s">
        <v>96</v>
      </c>
      <c r="B29" s="197" t="s">
        <v>504</v>
      </c>
      <c r="C29" s="214" t="s">
        <v>583</v>
      </c>
      <c r="D29" s="279"/>
      <c r="E29" s="279"/>
      <c r="F29" s="279"/>
    </row>
    <row r="30" spans="1:6" s="30" customFormat="1" ht="12" customHeight="1" thickBot="1">
      <c r="A30" s="189" t="s">
        <v>160</v>
      </c>
      <c r="B30" s="207" t="s">
        <v>4</v>
      </c>
      <c r="C30" s="208" t="s">
        <v>508</v>
      </c>
      <c r="D30" s="106">
        <f>SUM(D31:D33)</f>
        <v>0</v>
      </c>
      <c r="E30" s="106">
        <f>SUM(E31:E33)</f>
        <v>0</v>
      </c>
      <c r="F30" s="106">
        <f>SUM(F31:F33)</f>
        <v>0</v>
      </c>
    </row>
    <row r="31" spans="1:6" s="30" customFormat="1" ht="12" customHeight="1">
      <c r="A31" s="192" t="s">
        <v>162</v>
      </c>
      <c r="B31" s="210" t="s">
        <v>129</v>
      </c>
      <c r="C31" s="211" t="s">
        <v>164</v>
      </c>
      <c r="D31" s="125"/>
      <c r="E31" s="125"/>
      <c r="F31" s="125"/>
    </row>
    <row r="32" spans="1:6" s="30" customFormat="1" ht="12" customHeight="1">
      <c r="A32" s="196" t="s">
        <v>165</v>
      </c>
      <c r="B32" s="210" t="s">
        <v>132</v>
      </c>
      <c r="C32" s="213" t="s">
        <v>167</v>
      </c>
      <c r="D32" s="110"/>
      <c r="E32" s="110"/>
      <c r="F32" s="110"/>
    </row>
    <row r="33" spans="1:6" s="30" customFormat="1" ht="12" customHeight="1" thickBot="1">
      <c r="A33" s="204" t="s">
        <v>168</v>
      </c>
      <c r="B33" s="197" t="s">
        <v>135</v>
      </c>
      <c r="C33" s="214" t="s">
        <v>170</v>
      </c>
      <c r="D33" s="279"/>
      <c r="E33" s="279"/>
      <c r="F33" s="279"/>
    </row>
    <row r="34" spans="1:6" s="27" customFormat="1" ht="12" customHeight="1" thickBot="1">
      <c r="A34" s="189" t="s">
        <v>177</v>
      </c>
      <c r="B34" s="207" t="s">
        <v>5</v>
      </c>
      <c r="C34" s="208" t="s">
        <v>14</v>
      </c>
      <c r="D34" s="278"/>
      <c r="E34" s="278"/>
      <c r="F34" s="278"/>
    </row>
    <row r="35" spans="1:6" s="27" customFormat="1" ht="12" customHeight="1" thickBot="1">
      <c r="A35" s="189" t="s">
        <v>190</v>
      </c>
      <c r="B35" s="207" t="s">
        <v>6</v>
      </c>
      <c r="C35" s="208" t="s">
        <v>15</v>
      </c>
      <c r="D35" s="280"/>
      <c r="E35" s="280"/>
      <c r="F35" s="280"/>
    </row>
    <row r="36" spans="1:6" s="27" customFormat="1" ht="12" customHeight="1" thickBot="1">
      <c r="A36" s="189" t="s">
        <v>203</v>
      </c>
      <c r="B36" s="183" t="s">
        <v>7</v>
      </c>
      <c r="C36" s="208" t="s">
        <v>584</v>
      </c>
      <c r="D36" s="281">
        <f>D8+D20+D25+D26+D30+D34+D35</f>
        <v>0</v>
      </c>
      <c r="E36" s="281">
        <f>E8+E20+E25+E26+E30+E34+E35</f>
        <v>0</v>
      </c>
      <c r="F36" s="281">
        <f>F8+F20+F25+F26+F30+F34+F35</f>
        <v>0</v>
      </c>
    </row>
    <row r="37" spans="1:6" s="27" customFormat="1" ht="12" customHeight="1" thickBot="1">
      <c r="A37" s="189" t="s">
        <v>230</v>
      </c>
      <c r="B37" s="219" t="s">
        <v>204</v>
      </c>
      <c r="C37" s="208" t="s">
        <v>510</v>
      </c>
      <c r="D37" s="281">
        <f>SUM(D38:D40)</f>
        <v>33854231</v>
      </c>
      <c r="E37" s="281">
        <f>SUM(E38:E40)</f>
        <v>33854231</v>
      </c>
      <c r="F37" s="281">
        <f>SUM(F38:F40)</f>
        <v>13769109</v>
      </c>
    </row>
    <row r="38" spans="1:6" s="27" customFormat="1" ht="12" customHeight="1">
      <c r="A38" s="192" t="s">
        <v>215</v>
      </c>
      <c r="B38" s="210" t="s">
        <v>511</v>
      </c>
      <c r="C38" s="211" t="s">
        <v>512</v>
      </c>
      <c r="D38" s="125">
        <v>682723</v>
      </c>
      <c r="E38" s="125">
        <v>682723</v>
      </c>
      <c r="F38" s="125">
        <v>539109</v>
      </c>
    </row>
    <row r="39" spans="1:6" s="27" customFormat="1" ht="12" customHeight="1">
      <c r="A39" s="196" t="s">
        <v>218</v>
      </c>
      <c r="B39" s="210" t="s">
        <v>513</v>
      </c>
      <c r="C39" s="213" t="s">
        <v>585</v>
      </c>
      <c r="D39" s="110"/>
      <c r="E39" s="110"/>
      <c r="F39" s="110"/>
    </row>
    <row r="40" spans="1:6" s="30" customFormat="1" ht="12" customHeight="1" thickBot="1">
      <c r="A40" s="204" t="s">
        <v>515</v>
      </c>
      <c r="B40" s="315" t="s">
        <v>516</v>
      </c>
      <c r="C40" s="316" t="s">
        <v>517</v>
      </c>
      <c r="D40" s="317">
        <f>D57-D38</f>
        <v>33171508</v>
      </c>
      <c r="E40" s="317">
        <f>E57-E38</f>
        <v>33171508</v>
      </c>
      <c r="F40" s="317">
        <v>13230000</v>
      </c>
    </row>
    <row r="41" spans="1:6" s="30" customFormat="1" ht="15" customHeight="1" thickBot="1">
      <c r="A41" s="189" t="s">
        <v>518</v>
      </c>
      <c r="B41" s="219" t="s">
        <v>303</v>
      </c>
      <c r="C41" s="221" t="s">
        <v>519</v>
      </c>
      <c r="D41" s="227">
        <f>D36+D37</f>
        <v>33854231</v>
      </c>
      <c r="E41" s="227">
        <f>E36+E37</f>
        <v>33854231</v>
      </c>
      <c r="F41" s="227">
        <f>F36+F37</f>
        <v>13769109</v>
      </c>
    </row>
    <row r="42" spans="1:6" s="30" customFormat="1" ht="15" customHeight="1">
      <c r="A42" s="282"/>
      <c r="B42" s="56"/>
      <c r="C42" s="57"/>
      <c r="D42" s="58"/>
      <c r="E42" s="58"/>
      <c r="F42" s="58"/>
    </row>
    <row r="43" spans="2:6" ht="13.5" thickBot="1">
      <c r="B43" s="223"/>
      <c r="C43" s="40"/>
      <c r="D43" s="224"/>
      <c r="E43" s="224"/>
      <c r="F43" s="224"/>
    </row>
    <row r="44" spans="1:6" s="20" customFormat="1" ht="16.5" customHeight="1" thickBot="1">
      <c r="A44" s="283" t="s">
        <v>39</v>
      </c>
      <c r="B44" s="284"/>
      <c r="C44" s="179" t="s">
        <v>235</v>
      </c>
      <c r="D44" s="227"/>
      <c r="E44" s="227"/>
      <c r="F44" s="227"/>
    </row>
    <row r="45" spans="1:6" s="66" customFormat="1" ht="12" customHeight="1" thickBot="1">
      <c r="A45" s="189" t="s">
        <v>520</v>
      </c>
      <c r="B45" s="285" t="s">
        <v>0</v>
      </c>
      <c r="C45" s="208" t="s">
        <v>521</v>
      </c>
      <c r="D45" s="106">
        <f>SUM(D46:D50)</f>
        <v>32886360</v>
      </c>
      <c r="E45" s="106">
        <f>SUM(E46:E50)</f>
        <v>32886360</v>
      </c>
      <c r="F45" s="106">
        <f>SUM(F46:F50)</f>
        <v>13611315</v>
      </c>
    </row>
    <row r="46" spans="1:6" ht="12" customHeight="1">
      <c r="A46" s="192" t="s">
        <v>236</v>
      </c>
      <c r="B46" s="286" t="s">
        <v>46</v>
      </c>
      <c r="C46" s="206" t="s">
        <v>237</v>
      </c>
      <c r="D46" s="125">
        <v>24249042</v>
      </c>
      <c r="E46" s="125">
        <v>24249042</v>
      </c>
      <c r="F46" s="125">
        <v>10817285</v>
      </c>
    </row>
    <row r="47" spans="1:6" ht="12" customHeight="1">
      <c r="A47" s="196" t="s">
        <v>238</v>
      </c>
      <c r="B47" s="286" t="s">
        <v>49</v>
      </c>
      <c r="C47" s="198" t="s">
        <v>8</v>
      </c>
      <c r="D47" s="113">
        <v>4607318</v>
      </c>
      <c r="E47" s="113">
        <v>4607318</v>
      </c>
      <c r="F47" s="113">
        <v>1946579</v>
      </c>
    </row>
    <row r="48" spans="1:6" ht="12" customHeight="1">
      <c r="A48" s="196" t="s">
        <v>239</v>
      </c>
      <c r="B48" s="286" t="s">
        <v>52</v>
      </c>
      <c r="C48" s="198" t="s">
        <v>240</v>
      </c>
      <c r="D48" s="113">
        <v>4030000</v>
      </c>
      <c r="E48" s="113">
        <v>4030000</v>
      </c>
      <c r="F48" s="113">
        <v>847451</v>
      </c>
    </row>
    <row r="49" spans="1:6" ht="12" customHeight="1">
      <c r="A49" s="196" t="s">
        <v>241</v>
      </c>
      <c r="B49" s="286" t="s">
        <v>55</v>
      </c>
      <c r="C49" s="198" t="s">
        <v>9</v>
      </c>
      <c r="D49" s="113"/>
      <c r="E49" s="113"/>
      <c r="F49" s="113"/>
    </row>
    <row r="50" spans="1:6" ht="12" customHeight="1" thickBot="1">
      <c r="A50" s="204" t="s">
        <v>242</v>
      </c>
      <c r="B50" s="286" t="s">
        <v>58</v>
      </c>
      <c r="C50" s="198" t="s">
        <v>10</v>
      </c>
      <c r="D50" s="113"/>
      <c r="E50" s="113"/>
      <c r="F50" s="113"/>
    </row>
    <row r="51" spans="1:6" ht="12" customHeight="1" thickBot="1">
      <c r="A51" s="189" t="s">
        <v>522</v>
      </c>
      <c r="B51" s="285" t="s">
        <v>1</v>
      </c>
      <c r="C51" s="208" t="s">
        <v>586</v>
      </c>
      <c r="D51" s="106">
        <f>SUM(D52:D54)</f>
        <v>967871</v>
      </c>
      <c r="E51" s="106">
        <f>SUM(E52:E54)</f>
        <v>967871</v>
      </c>
      <c r="F51" s="106">
        <f>SUM(F52:F54)</f>
        <v>27470</v>
      </c>
    </row>
    <row r="52" spans="1:6" s="66" customFormat="1" ht="12" customHeight="1">
      <c r="A52" s="192" t="s">
        <v>279</v>
      </c>
      <c r="B52" s="286" t="s">
        <v>66</v>
      </c>
      <c r="C52" s="206" t="s">
        <v>11</v>
      </c>
      <c r="D52" s="125">
        <f>295000+672871</f>
        <v>967871</v>
      </c>
      <c r="E52" s="125">
        <f>295000+672871</f>
        <v>967871</v>
      </c>
      <c r="F52" s="125">
        <v>27470</v>
      </c>
    </row>
    <row r="53" spans="1:6" ht="12" customHeight="1">
      <c r="A53" s="196" t="s">
        <v>280</v>
      </c>
      <c r="B53" s="286" t="s">
        <v>69</v>
      </c>
      <c r="C53" s="198" t="s">
        <v>12</v>
      </c>
      <c r="D53" s="113"/>
      <c r="E53" s="113"/>
      <c r="F53" s="113"/>
    </row>
    <row r="54" spans="1:6" ht="12" customHeight="1">
      <c r="A54" s="196" t="s">
        <v>281</v>
      </c>
      <c r="B54" s="286" t="s">
        <v>72</v>
      </c>
      <c r="C54" s="198" t="s">
        <v>524</v>
      </c>
      <c r="D54" s="113"/>
      <c r="E54" s="113"/>
      <c r="F54" s="113"/>
    </row>
    <row r="55" spans="1:6" ht="12" customHeight="1" thickBot="1">
      <c r="A55" s="204" t="s">
        <v>281</v>
      </c>
      <c r="B55" s="286" t="s">
        <v>75</v>
      </c>
      <c r="C55" s="198" t="s">
        <v>525</v>
      </c>
      <c r="D55" s="113"/>
      <c r="E55" s="113"/>
      <c r="F55" s="113"/>
    </row>
    <row r="56" spans="1:6" ht="15" customHeight="1" thickBot="1">
      <c r="A56" s="189" t="s">
        <v>526</v>
      </c>
      <c r="B56" s="285" t="s">
        <v>2</v>
      </c>
      <c r="C56" s="208" t="s">
        <v>389</v>
      </c>
      <c r="D56" s="278"/>
      <c r="E56" s="278"/>
      <c r="F56" s="278"/>
    </row>
    <row r="57" spans="1:6" ht="13.5" thickBot="1">
      <c r="A57" s="189" t="s">
        <v>528</v>
      </c>
      <c r="B57" s="285" t="s">
        <v>3</v>
      </c>
      <c r="C57" s="233" t="s">
        <v>529</v>
      </c>
      <c r="D57" s="288">
        <f>D45+D51+D56</f>
        <v>33854231</v>
      </c>
      <c r="E57" s="288">
        <f>E45+E51+E56</f>
        <v>33854231</v>
      </c>
      <c r="F57" s="288">
        <f>F45+F51+F56</f>
        <v>13638785</v>
      </c>
    </row>
    <row r="58" spans="4:6" ht="15" customHeight="1">
      <c r="D58" s="236"/>
      <c r="E58" s="236"/>
      <c r="F58" s="236"/>
    </row>
    <row r="59" spans="2:6" ht="14.25" customHeight="1">
      <c r="B59" s="93"/>
      <c r="C59" s="94"/>
      <c r="D59" s="95"/>
      <c r="E59" s="95"/>
      <c r="F59" s="95"/>
    </row>
    <row r="60" spans="2:6" ht="12.75">
      <c r="B60" s="93"/>
      <c r="C60" s="94"/>
      <c r="D60" s="95"/>
      <c r="E60" s="95"/>
      <c r="F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  <headerFooter>
    <oddHeader>&amp;Ra 12/2020. (VII. 10.) önkormányzati rendelet 13.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72"/>
  <sheetViews>
    <sheetView showZeros="0" tabSelected="1" view="pageBreakPreview" zoomScaleNormal="50" zoomScaleSheetLayoutView="100" zoomScalePageLayoutView="40" workbookViewId="0" topLeftCell="A67">
      <selection activeCell="B66" sqref="B66"/>
    </sheetView>
  </sheetViews>
  <sheetFormatPr defaultColWidth="70.375" defaultRowHeight="12.75"/>
  <cols>
    <col min="1" max="1" width="22.125" style="505" customWidth="1"/>
    <col min="2" max="2" width="48.875" style="662" customWidth="1"/>
    <col min="3" max="3" width="20.875" style="662" customWidth="1"/>
    <col min="4" max="6" width="20.875" style="249" customWidth="1"/>
    <col min="7" max="16384" width="70.375" style="250" customWidth="1"/>
  </cols>
  <sheetData>
    <row r="1" ht="15" customHeight="1"/>
    <row r="2" ht="15" customHeight="1"/>
    <row r="4" spans="1:6" s="612" customFormat="1" ht="13.5" customHeight="1">
      <c r="A4" s="505"/>
      <c r="B4" s="662"/>
      <c r="C4" s="662"/>
      <c r="D4" s="249"/>
      <c r="E4" s="249"/>
      <c r="F4" s="249"/>
    </row>
    <row r="5" s="503" customFormat="1" ht="43.5" customHeight="1">
      <c r="A5" s="503" t="s">
        <v>1062</v>
      </c>
    </row>
    <row r="6" spans="1:6" s="612" customFormat="1" ht="13.5" customHeight="1">
      <c r="A6" s="505"/>
      <c r="B6" s="504"/>
      <c r="C6" s="504"/>
      <c r="D6" s="248"/>
      <c r="E6" s="248"/>
      <c r="F6" s="248"/>
    </row>
    <row r="7" spans="1:6" s="612" customFormat="1" ht="41.25" customHeight="1">
      <c r="A7" s="758" t="s">
        <v>999</v>
      </c>
      <c r="B7" s="758"/>
      <c r="C7" s="758"/>
      <c r="D7" s="758"/>
      <c r="E7" s="758"/>
      <c r="F7" s="758"/>
    </row>
    <row r="8" spans="1:6" s="612" customFormat="1" ht="24.75" customHeight="1">
      <c r="A8" s="505"/>
      <c r="B8" s="504"/>
      <c r="C8" s="504"/>
      <c r="D8" s="663"/>
      <c r="E8" s="663"/>
      <c r="F8" s="663" t="s">
        <v>588</v>
      </c>
    </row>
    <row r="9" spans="1:6" ht="49.5" customHeight="1">
      <c r="A9" s="506"/>
      <c r="B9" s="252" t="s">
        <v>34</v>
      </c>
      <c r="C9" s="507"/>
      <c r="D9" s="508"/>
      <c r="E9" s="508"/>
      <c r="F9" s="508"/>
    </row>
    <row r="10" spans="1:6" ht="133.5" customHeight="1">
      <c r="A10" s="252" t="s">
        <v>589</v>
      </c>
      <c r="B10" s="520"/>
      <c r="C10" s="252" t="s">
        <v>590</v>
      </c>
      <c r="D10" s="252" t="s">
        <v>35</v>
      </c>
      <c r="E10" s="252" t="s">
        <v>35</v>
      </c>
      <c r="F10" s="252" t="s">
        <v>35</v>
      </c>
    </row>
    <row r="11" spans="1:6" ht="38.25">
      <c r="A11" s="509"/>
      <c r="B11" s="510"/>
      <c r="C11" s="510"/>
      <c r="D11" s="252" t="s">
        <v>1074</v>
      </c>
      <c r="E11" s="252" t="s">
        <v>1083</v>
      </c>
      <c r="F11" s="252" t="s">
        <v>1137</v>
      </c>
    </row>
    <row r="12" spans="1:6" ht="49.5" customHeight="1">
      <c r="A12" s="511"/>
      <c r="B12" s="521" t="s">
        <v>1028</v>
      </c>
      <c r="C12" s="522"/>
      <c r="D12" s="513">
        <f>SUM(D13:D41)</f>
        <v>161990682</v>
      </c>
      <c r="E12" s="513">
        <f>SUM(E13:E41)</f>
        <v>52600450</v>
      </c>
      <c r="F12" s="513">
        <f>SUM(F13:F41)</f>
        <v>12804527</v>
      </c>
    </row>
    <row r="13" spans="1:6" ht="62.25" customHeight="1">
      <c r="A13" s="511"/>
      <c r="B13" s="527" t="s">
        <v>1036</v>
      </c>
      <c r="C13" s="664"/>
      <c r="D13" s="515">
        <v>20000000</v>
      </c>
      <c r="E13" s="515">
        <v>20000000</v>
      </c>
      <c r="F13" s="515"/>
    </row>
    <row r="14" spans="1:6" s="517" customFormat="1" ht="62.25" customHeight="1">
      <c r="A14" s="516"/>
      <c r="B14" s="665" t="s">
        <v>1037</v>
      </c>
      <c r="C14" s="666"/>
      <c r="D14" s="515">
        <v>63500000</v>
      </c>
      <c r="E14" s="515"/>
      <c r="F14" s="515"/>
    </row>
    <row r="15" spans="1:6" s="517" customFormat="1" ht="62.25" customHeight="1">
      <c r="A15" s="516"/>
      <c r="B15" s="667" t="s">
        <v>1045</v>
      </c>
      <c r="C15" s="668"/>
      <c r="D15" s="515">
        <v>41000000</v>
      </c>
      <c r="E15" s="515"/>
      <c r="F15" s="515"/>
    </row>
    <row r="16" spans="1:6" ht="62.25" customHeight="1">
      <c r="A16" s="511"/>
      <c r="B16" s="527" t="s">
        <v>1038</v>
      </c>
      <c r="C16" s="518"/>
      <c r="D16" s="515">
        <f>15000000+8710682-220000</f>
        <v>23490682</v>
      </c>
      <c r="E16" s="515">
        <v>12000000</v>
      </c>
      <c r="F16" s="515"/>
    </row>
    <row r="17" spans="1:6" ht="62.25" customHeight="1">
      <c r="A17" s="511"/>
      <c r="B17" s="527" t="s">
        <v>1070</v>
      </c>
      <c r="C17" s="518"/>
      <c r="D17" s="515">
        <v>10000000</v>
      </c>
      <c r="E17" s="515">
        <v>10000000</v>
      </c>
      <c r="F17" s="515"/>
    </row>
    <row r="18" spans="1:6" ht="62.25" customHeight="1">
      <c r="A18" s="511"/>
      <c r="B18" s="373" t="s">
        <v>1039</v>
      </c>
      <c r="C18" s="518"/>
      <c r="D18" s="515">
        <v>2000000</v>
      </c>
      <c r="E18" s="515">
        <v>2000000</v>
      </c>
      <c r="F18" s="515"/>
    </row>
    <row r="19" spans="1:6" ht="62.25" customHeight="1">
      <c r="A19" s="511"/>
      <c r="B19" s="373" t="s">
        <v>1046</v>
      </c>
      <c r="C19" s="518"/>
      <c r="D19" s="515">
        <v>2000000</v>
      </c>
      <c r="E19" s="515">
        <v>2000000</v>
      </c>
      <c r="F19" s="515"/>
    </row>
    <row r="20" spans="1:6" ht="62.25" customHeight="1">
      <c r="A20" s="511"/>
      <c r="B20" s="373" t="s">
        <v>1075</v>
      </c>
      <c r="C20" s="518" t="s">
        <v>1140</v>
      </c>
      <c r="D20" s="515"/>
      <c r="E20" s="515">
        <v>3600450</v>
      </c>
      <c r="F20" s="515"/>
    </row>
    <row r="21" spans="1:6" ht="62.25" customHeight="1">
      <c r="A21" s="511"/>
      <c r="B21" s="373" t="s">
        <v>1076</v>
      </c>
      <c r="C21" s="518" t="s">
        <v>1077</v>
      </c>
      <c r="D21" s="515"/>
      <c r="E21" s="515">
        <v>3000000</v>
      </c>
      <c r="F21" s="515"/>
    </row>
    <row r="22" spans="1:6" ht="62.25" customHeight="1">
      <c r="A22" s="511"/>
      <c r="B22" s="671" t="s">
        <v>1142</v>
      </c>
      <c r="C22" s="518"/>
      <c r="D22" s="515"/>
      <c r="E22" s="515"/>
      <c r="F22" s="515">
        <f>2332457+4449470</f>
        <v>6781927</v>
      </c>
    </row>
    <row r="23" spans="1:6" ht="62.25" customHeight="1">
      <c r="A23" s="511"/>
      <c r="B23" s="671" t="s">
        <v>1141</v>
      </c>
      <c r="C23" s="518"/>
      <c r="D23" s="515"/>
      <c r="E23" s="515"/>
      <c r="F23" s="515">
        <v>1233240</v>
      </c>
    </row>
    <row r="24" spans="1:6" ht="62.25" customHeight="1">
      <c r="A24" s="511"/>
      <c r="B24" s="671" t="s">
        <v>1158</v>
      </c>
      <c r="C24" s="518"/>
      <c r="D24" s="515"/>
      <c r="E24" s="515"/>
      <c r="F24" s="515">
        <v>71760</v>
      </c>
    </row>
    <row r="25" spans="1:6" ht="62.25" customHeight="1">
      <c r="A25" s="511"/>
      <c r="B25" s="671" t="s">
        <v>1159</v>
      </c>
      <c r="C25" s="518"/>
      <c r="D25" s="515"/>
      <c r="E25" s="515"/>
      <c r="F25" s="515">
        <v>218270</v>
      </c>
    </row>
    <row r="26" spans="1:6" ht="62.25" customHeight="1">
      <c r="A26" s="511"/>
      <c r="B26" s="671" t="s">
        <v>1160</v>
      </c>
      <c r="C26" s="518"/>
      <c r="D26" s="515"/>
      <c r="E26" s="515"/>
      <c r="F26" s="515">
        <v>557185</v>
      </c>
    </row>
    <row r="27" spans="1:6" ht="62.25" customHeight="1">
      <c r="A27" s="511"/>
      <c r="B27" s="671" t="s">
        <v>1143</v>
      </c>
      <c r="C27" s="518"/>
      <c r="D27" s="515"/>
      <c r="E27" s="515"/>
      <c r="F27" s="515">
        <v>291734</v>
      </c>
    </row>
    <row r="28" spans="1:6" ht="62.25" customHeight="1">
      <c r="A28" s="511"/>
      <c r="B28" s="671" t="s">
        <v>1144</v>
      </c>
      <c r="C28" s="518"/>
      <c r="D28" s="515"/>
      <c r="E28" s="515"/>
      <c r="F28" s="515">
        <v>1300577</v>
      </c>
    </row>
    <row r="29" spans="1:6" ht="62.25" customHeight="1">
      <c r="A29" s="511"/>
      <c r="B29" s="671" t="s">
        <v>1145</v>
      </c>
      <c r="C29" s="518"/>
      <c r="D29" s="515"/>
      <c r="E29" s="515"/>
      <c r="F29" s="515">
        <v>15655</v>
      </c>
    </row>
    <row r="30" spans="1:6" ht="62.25" customHeight="1">
      <c r="A30" s="511"/>
      <c r="B30" s="671" t="s">
        <v>1146</v>
      </c>
      <c r="C30" s="518"/>
      <c r="D30" s="515"/>
      <c r="E30" s="515"/>
      <c r="F30" s="515">
        <v>305892</v>
      </c>
    </row>
    <row r="31" spans="1:6" ht="62.25" customHeight="1">
      <c r="A31" s="511"/>
      <c r="B31" s="671" t="s">
        <v>1147</v>
      </c>
      <c r="C31" s="518"/>
      <c r="D31" s="515"/>
      <c r="E31" s="515"/>
      <c r="F31" s="515">
        <v>72226</v>
      </c>
    </row>
    <row r="32" spans="1:6" ht="62.25" customHeight="1">
      <c r="A32" s="511"/>
      <c r="B32" s="671" t="s">
        <v>1148</v>
      </c>
      <c r="C32" s="518"/>
      <c r="D32" s="515"/>
      <c r="E32" s="515"/>
      <c r="F32" s="515">
        <v>822579</v>
      </c>
    </row>
    <row r="33" spans="1:6" ht="62.25" customHeight="1">
      <c r="A33" s="511"/>
      <c r="B33" s="671" t="s">
        <v>1149</v>
      </c>
      <c r="C33" s="518"/>
      <c r="D33" s="515"/>
      <c r="E33" s="515"/>
      <c r="F33" s="515">
        <v>36576</v>
      </c>
    </row>
    <row r="34" spans="1:6" ht="62.25" customHeight="1">
      <c r="A34" s="511"/>
      <c r="B34" s="671" t="s">
        <v>1150</v>
      </c>
      <c r="C34" s="518"/>
      <c r="D34" s="515"/>
      <c r="E34" s="515"/>
      <c r="F34" s="515">
        <v>8636</v>
      </c>
    </row>
    <row r="35" spans="1:6" ht="62.25" customHeight="1">
      <c r="A35" s="511"/>
      <c r="B35" s="671" t="s">
        <v>1151</v>
      </c>
      <c r="C35" s="518"/>
      <c r="D35" s="515"/>
      <c r="E35" s="515"/>
      <c r="F35" s="515">
        <v>371119</v>
      </c>
    </row>
    <row r="36" spans="1:6" ht="62.25" customHeight="1">
      <c r="A36" s="511"/>
      <c r="B36" s="671" t="s">
        <v>1152</v>
      </c>
      <c r="C36" s="518"/>
      <c r="D36" s="515"/>
      <c r="E36" s="515"/>
      <c r="F36" s="515">
        <v>235801</v>
      </c>
    </row>
    <row r="37" spans="1:6" ht="62.25" customHeight="1">
      <c r="A37" s="511"/>
      <c r="B37" s="671" t="s">
        <v>1153</v>
      </c>
      <c r="C37" s="518"/>
      <c r="D37" s="515"/>
      <c r="E37" s="515"/>
      <c r="F37" s="515">
        <v>11700</v>
      </c>
    </row>
    <row r="38" spans="1:6" ht="62.25" customHeight="1">
      <c r="A38" s="511"/>
      <c r="B38" s="671" t="s">
        <v>1154</v>
      </c>
      <c r="C38" s="518"/>
      <c r="D38" s="515"/>
      <c r="E38" s="515"/>
      <c r="F38" s="515">
        <v>95000</v>
      </c>
    </row>
    <row r="39" spans="1:6" ht="62.25" customHeight="1">
      <c r="A39" s="511"/>
      <c r="B39" s="671" t="s">
        <v>1155</v>
      </c>
      <c r="C39" s="518"/>
      <c r="D39" s="515"/>
      <c r="E39" s="515"/>
      <c r="F39" s="515">
        <v>113400</v>
      </c>
    </row>
    <row r="40" spans="1:6" ht="62.25" customHeight="1">
      <c r="A40" s="511"/>
      <c r="B40" s="671" t="s">
        <v>1156</v>
      </c>
      <c r="C40" s="518"/>
      <c r="D40" s="515"/>
      <c r="E40" s="515"/>
      <c r="F40" s="515">
        <v>203660</v>
      </c>
    </row>
    <row r="41" spans="1:6" ht="62.25" customHeight="1">
      <c r="A41" s="511"/>
      <c r="B41" s="671" t="s">
        <v>1157</v>
      </c>
      <c r="C41" s="518"/>
      <c r="D41" s="515"/>
      <c r="E41" s="515"/>
      <c r="F41" s="515">
        <v>57590</v>
      </c>
    </row>
    <row r="42" spans="1:6" ht="49.5" customHeight="1">
      <c r="A42" s="523"/>
      <c r="B42" s="521" t="s">
        <v>1139</v>
      </c>
      <c r="C42" s="512"/>
      <c r="D42" s="524"/>
      <c r="E42" s="524"/>
      <c r="F42" s="524"/>
    </row>
    <row r="43" spans="1:6" ht="64.5" customHeight="1">
      <c r="A43" s="511" t="s">
        <v>0</v>
      </c>
      <c r="B43" s="514" t="s">
        <v>1012</v>
      </c>
      <c r="C43" s="515" t="s">
        <v>1018</v>
      </c>
      <c r="D43" s="515">
        <v>11747500</v>
      </c>
      <c r="E43" s="515">
        <v>11747500</v>
      </c>
      <c r="F43" s="515"/>
    </row>
    <row r="44" spans="1:6" ht="60" customHeight="1">
      <c r="A44" s="511" t="s">
        <v>1</v>
      </c>
      <c r="B44" s="514" t="s">
        <v>1013</v>
      </c>
      <c r="C44" s="515" t="s">
        <v>1014</v>
      </c>
      <c r="D44" s="515">
        <v>50113637</v>
      </c>
      <c r="E44" s="515">
        <v>50113637</v>
      </c>
      <c r="F44" s="515">
        <v>6286881</v>
      </c>
    </row>
    <row r="45" spans="1:6" ht="60" customHeight="1">
      <c r="A45" s="511" t="s">
        <v>2</v>
      </c>
      <c r="B45" s="514" t="s">
        <v>1019</v>
      </c>
      <c r="C45" s="515" t="s">
        <v>1059</v>
      </c>
      <c r="D45" s="515">
        <v>1000000</v>
      </c>
      <c r="E45" s="515">
        <v>1000000</v>
      </c>
      <c r="F45" s="515">
        <f>187660+12670</f>
        <v>200330</v>
      </c>
    </row>
    <row r="46" spans="1:6" ht="60" customHeight="1">
      <c r="A46" s="511" t="s">
        <v>3</v>
      </c>
      <c r="B46" s="514" t="s">
        <v>1015</v>
      </c>
      <c r="C46" s="515"/>
      <c r="D46" s="515">
        <v>8820000</v>
      </c>
      <c r="E46" s="515">
        <v>8820000</v>
      </c>
      <c r="F46" s="515"/>
    </row>
    <row r="47" spans="1:6" s="517" customFormat="1" ht="61.5" customHeight="1">
      <c r="A47" s="511" t="s">
        <v>4</v>
      </c>
      <c r="B47" s="514" t="s">
        <v>1026</v>
      </c>
      <c r="C47" s="515" t="s">
        <v>1043</v>
      </c>
      <c r="D47" s="515">
        <f>49979999-2646008</f>
        <v>47333991</v>
      </c>
      <c r="E47" s="515">
        <f>49979999-2646008</f>
        <v>47333991</v>
      </c>
      <c r="F47" s="515">
        <v>26460076</v>
      </c>
    </row>
    <row r="48" spans="1:6" s="517" customFormat="1" ht="61.5" customHeight="1">
      <c r="A48" s="511" t="s">
        <v>5</v>
      </c>
      <c r="B48" s="514" t="s">
        <v>1016</v>
      </c>
      <c r="C48" s="515" t="s">
        <v>1017</v>
      </c>
      <c r="D48" s="515">
        <v>1466850</v>
      </c>
      <c r="E48" s="515">
        <v>1466850</v>
      </c>
      <c r="F48" s="515"/>
    </row>
    <row r="49" spans="1:6" s="517" customFormat="1" ht="60" customHeight="1">
      <c r="A49" s="511" t="s">
        <v>6</v>
      </c>
      <c r="B49" s="514" t="s">
        <v>1056</v>
      </c>
      <c r="C49" s="515" t="s">
        <v>1065</v>
      </c>
      <c r="D49" s="515">
        <v>1059033</v>
      </c>
      <c r="E49" s="515">
        <v>1059033</v>
      </c>
      <c r="F49" s="515"/>
    </row>
    <row r="50" spans="1:6" s="517" customFormat="1" ht="60" customHeight="1">
      <c r="A50" s="511" t="s">
        <v>7</v>
      </c>
      <c r="B50" s="514" t="s">
        <v>1020</v>
      </c>
      <c r="C50" s="515" t="s">
        <v>1043</v>
      </c>
      <c r="D50" s="515">
        <v>2641600</v>
      </c>
      <c r="E50" s="515">
        <v>2641600</v>
      </c>
      <c r="F50" s="515"/>
    </row>
    <row r="51" spans="1:6" ht="60" customHeight="1">
      <c r="A51" s="511" t="s">
        <v>204</v>
      </c>
      <c r="B51" s="514" t="s">
        <v>1021</v>
      </c>
      <c r="C51" s="525" t="s">
        <v>1043</v>
      </c>
      <c r="D51" s="515">
        <v>3048000</v>
      </c>
      <c r="E51" s="515">
        <v>3048000</v>
      </c>
      <c r="F51" s="515"/>
    </row>
    <row r="52" spans="1:6" ht="60" customHeight="1">
      <c r="A52" s="511" t="s">
        <v>303</v>
      </c>
      <c r="B52" s="514" t="s">
        <v>1022</v>
      </c>
      <c r="C52" s="525" t="s">
        <v>1023</v>
      </c>
      <c r="D52" s="515">
        <v>20198667</v>
      </c>
      <c r="E52" s="515">
        <v>20198667</v>
      </c>
      <c r="F52" s="515"/>
    </row>
    <row r="53" spans="1:6" ht="60" customHeight="1">
      <c r="A53" s="511" t="s">
        <v>305</v>
      </c>
      <c r="B53" s="514" t="s">
        <v>1025</v>
      </c>
      <c r="C53" s="525" t="s">
        <v>1063</v>
      </c>
      <c r="D53" s="515">
        <v>15000000</v>
      </c>
      <c r="E53" s="515">
        <v>15000000</v>
      </c>
      <c r="F53" s="515"/>
    </row>
    <row r="54" spans="1:6" ht="60" customHeight="1">
      <c r="A54" s="511" t="s">
        <v>356</v>
      </c>
      <c r="B54" s="514" t="s">
        <v>1057</v>
      </c>
      <c r="C54" s="525" t="s">
        <v>1066</v>
      </c>
      <c r="D54" s="515">
        <v>1524000</v>
      </c>
      <c r="E54" s="515">
        <v>1524000</v>
      </c>
      <c r="F54" s="515"/>
    </row>
    <row r="55" spans="1:6" ht="60" customHeight="1">
      <c r="A55" s="511" t="s">
        <v>314</v>
      </c>
      <c r="B55" s="514" t="s">
        <v>1024</v>
      </c>
      <c r="C55" s="525" t="s">
        <v>1043</v>
      </c>
      <c r="D55" s="515">
        <v>889000</v>
      </c>
      <c r="E55" s="515">
        <v>889000</v>
      </c>
      <c r="F55" s="515"/>
    </row>
    <row r="56" spans="1:6" ht="60" customHeight="1">
      <c r="A56" s="511" t="s">
        <v>317</v>
      </c>
      <c r="B56" s="514" t="s">
        <v>1061</v>
      </c>
      <c r="C56" s="525" t="s">
        <v>1067</v>
      </c>
      <c r="D56" s="515">
        <v>508000</v>
      </c>
      <c r="E56" s="515">
        <v>508000</v>
      </c>
      <c r="F56" s="515"/>
    </row>
    <row r="57" spans="1:6" ht="60" customHeight="1">
      <c r="A57" s="511" t="s">
        <v>319</v>
      </c>
      <c r="B57" s="514" t="s">
        <v>1044</v>
      </c>
      <c r="C57" s="525"/>
      <c r="D57" s="515">
        <f>64200000</f>
        <v>64200000</v>
      </c>
      <c r="E57" s="515">
        <f>64200000</f>
        <v>64200000</v>
      </c>
      <c r="F57" s="515"/>
    </row>
    <row r="58" spans="1:6" ht="60" customHeight="1">
      <c r="A58" s="511" t="s">
        <v>321</v>
      </c>
      <c r="B58" s="514" t="s">
        <v>1027</v>
      </c>
      <c r="C58" s="525" t="s">
        <v>1043</v>
      </c>
      <c r="D58" s="515">
        <f>214000000-D57-8423038*1.27</f>
        <v>139102741.74</v>
      </c>
      <c r="E58" s="515">
        <f>214000000-E57-8423038*1.27</f>
        <v>139102741.74</v>
      </c>
      <c r="F58" s="515">
        <f>42115190+112094</f>
        <v>42227284</v>
      </c>
    </row>
    <row r="59" spans="1:6" ht="60" customHeight="1">
      <c r="A59" s="511" t="s">
        <v>324</v>
      </c>
      <c r="B59" s="514" t="s">
        <v>1055</v>
      </c>
      <c r="C59" s="525" t="s">
        <v>1068</v>
      </c>
      <c r="D59" s="515">
        <v>3866385</v>
      </c>
      <c r="E59" s="515">
        <v>3866385</v>
      </c>
      <c r="F59" s="515"/>
    </row>
    <row r="60" spans="1:6" ht="60" customHeight="1">
      <c r="A60" s="511" t="s">
        <v>327</v>
      </c>
      <c r="B60" s="514" t="s">
        <v>1064</v>
      </c>
      <c r="C60" s="525" t="s">
        <v>1043</v>
      </c>
      <c r="D60" s="515">
        <f>(53950+485546)*1.27</f>
        <v>685159.92</v>
      </c>
      <c r="E60" s="515">
        <f>(53950+485546)*1.27</f>
        <v>685159.92</v>
      </c>
      <c r="F60" s="515"/>
    </row>
    <row r="61" spans="1:6" ht="60" customHeight="1">
      <c r="A61" s="511" t="s">
        <v>329</v>
      </c>
      <c r="B61" s="514" t="s">
        <v>1060</v>
      </c>
      <c r="C61" s="525" t="s">
        <v>1043</v>
      </c>
      <c r="D61" s="515">
        <f>6400000*1.27-7609840</f>
        <v>518160</v>
      </c>
      <c r="E61" s="515">
        <f>6400000*1.27-7609840</f>
        <v>518160</v>
      </c>
      <c r="F61" s="515"/>
    </row>
    <row r="62" spans="1:6" ht="49.5" customHeight="1">
      <c r="A62" s="511" t="s">
        <v>332</v>
      </c>
      <c r="B62" s="514" t="s">
        <v>1058</v>
      </c>
      <c r="C62" s="515" t="s">
        <v>1069</v>
      </c>
      <c r="D62" s="515">
        <v>5337818</v>
      </c>
      <c r="E62" s="515">
        <v>5337818</v>
      </c>
      <c r="F62" s="515"/>
    </row>
    <row r="63" spans="1:6" ht="49.5" customHeight="1">
      <c r="A63" s="511" t="s">
        <v>335</v>
      </c>
      <c r="B63" s="514" t="s">
        <v>1031</v>
      </c>
      <c r="C63" s="525" t="s">
        <v>1043</v>
      </c>
      <c r="D63" s="515">
        <f>500000*1.27</f>
        <v>635000</v>
      </c>
      <c r="E63" s="515">
        <f>500000*1.27</f>
        <v>635000</v>
      </c>
      <c r="F63" s="515"/>
    </row>
    <row r="64" spans="1:6" ht="49.5" customHeight="1">
      <c r="A64" s="511" t="s">
        <v>338</v>
      </c>
      <c r="B64" s="514" t="s">
        <v>1041</v>
      </c>
      <c r="C64" s="525" t="s">
        <v>1043</v>
      </c>
      <c r="D64" s="515">
        <f>214000000*0.1</f>
        <v>21400000</v>
      </c>
      <c r="E64" s="515">
        <f>214000000*0.1</f>
        <v>21400000</v>
      </c>
      <c r="F64" s="515"/>
    </row>
    <row r="65" spans="1:6" ht="49.5" customHeight="1">
      <c r="A65" s="511" t="s">
        <v>341</v>
      </c>
      <c r="B65" s="514" t="s">
        <v>1042</v>
      </c>
      <c r="C65" s="525" t="s">
        <v>1043</v>
      </c>
      <c r="D65" s="515">
        <f>52920152*0.1</f>
        <v>5292015.2</v>
      </c>
      <c r="E65" s="515">
        <f>52920152*0.1</f>
        <v>5292015.2</v>
      </c>
      <c r="F65" s="515"/>
    </row>
    <row r="66" spans="1:6" ht="49.5" customHeight="1">
      <c r="A66" s="511" t="s">
        <v>343</v>
      </c>
      <c r="B66" s="514" t="s">
        <v>1138</v>
      </c>
      <c r="C66" s="525" t="s">
        <v>1043</v>
      </c>
      <c r="D66" s="515">
        <f>35198667*0.1</f>
        <v>3519866.7</v>
      </c>
      <c r="E66" s="515">
        <f>35198667*0.1</f>
        <v>3519866.7</v>
      </c>
      <c r="F66" s="515"/>
    </row>
    <row r="67" spans="1:6" ht="68.25" customHeight="1">
      <c r="A67" s="523"/>
      <c r="B67" s="512" t="s">
        <v>592</v>
      </c>
      <c r="C67" s="512"/>
      <c r="D67" s="669">
        <f>SUM(D43:D66)</f>
        <v>409907424.56</v>
      </c>
      <c r="E67" s="669">
        <f>SUM(E43:E66)</f>
        <v>409907424.56</v>
      </c>
      <c r="F67" s="669">
        <f>SUM(F43:F66)</f>
        <v>75174571</v>
      </c>
    </row>
    <row r="68" spans="1:6" ht="60" customHeight="1">
      <c r="A68" s="526"/>
      <c r="B68" s="527"/>
      <c r="C68" s="518"/>
      <c r="D68" s="515"/>
      <c r="E68" s="515"/>
      <c r="F68" s="515"/>
    </row>
    <row r="69" spans="1:6" ht="49.5" customHeight="1">
      <c r="A69" s="766" t="s">
        <v>593</v>
      </c>
      <c r="B69" s="766"/>
      <c r="C69" s="528"/>
      <c r="D69" s="519">
        <f>D12+D67</f>
        <v>571898106.56</v>
      </c>
      <c r="E69" s="519">
        <f>E12+E67</f>
        <v>462507874.56</v>
      </c>
      <c r="F69" s="519">
        <f>F12+F67</f>
        <v>87979098</v>
      </c>
    </row>
    <row r="70" spans="1:6" ht="49.5" customHeight="1">
      <c r="A70" s="763" t="s">
        <v>1040</v>
      </c>
      <c r="B70" s="764"/>
      <c r="C70" s="529"/>
      <c r="D70" s="519">
        <f>D42</f>
        <v>0</v>
      </c>
      <c r="E70" s="519">
        <f>E42</f>
        <v>0</v>
      </c>
      <c r="F70" s="519">
        <f>F42</f>
        <v>0</v>
      </c>
    </row>
    <row r="71" spans="1:6" ht="49.5" customHeight="1">
      <c r="A71" s="763" t="s">
        <v>594</v>
      </c>
      <c r="B71" s="764"/>
      <c r="C71" s="530"/>
      <c r="D71" s="519">
        <f>D69+D70</f>
        <v>571898106.56</v>
      </c>
      <c r="E71" s="519">
        <f>E69+E70</f>
        <v>462507874.56</v>
      </c>
      <c r="F71" s="519">
        <f>F69+F70</f>
        <v>87979098</v>
      </c>
    </row>
    <row r="72" spans="1:6" ht="49.5" customHeight="1">
      <c r="A72" s="765"/>
      <c r="B72" s="765"/>
      <c r="C72" s="670"/>
      <c r="D72" s="258"/>
      <c r="E72" s="258"/>
      <c r="F72" s="258"/>
    </row>
  </sheetData>
  <sheetProtection/>
  <mergeCells count="5">
    <mergeCell ref="A71:B71"/>
    <mergeCell ref="A72:B72"/>
    <mergeCell ref="A69:B69"/>
    <mergeCell ref="A70:B70"/>
    <mergeCell ref="A7:F7"/>
  </mergeCells>
  <printOptions/>
  <pageMargins left="0.7" right="0.7" top="0.75" bottom="0.75" header="0.3" footer="0.3"/>
  <pageSetup fitToHeight="1" fitToWidth="1" horizontalDpi="600" verticalDpi="600" orientation="portrait" paperSize="9" scale="18" r:id="rId1"/>
  <headerFooter>
    <oddHeader>&amp;Ca .12/2020. (VII. 10.). ) önkormányzati rendelet 14.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view="pageBreakPreview" zoomScale="85" zoomScaleSheetLayoutView="85" workbookViewId="0" topLeftCell="A1">
      <selection activeCell="D6" sqref="D6"/>
    </sheetView>
  </sheetViews>
  <sheetFormatPr defaultColWidth="10.50390625" defaultRowHeight="12.75"/>
  <cols>
    <col min="1" max="1" width="12.50390625" style="346" customWidth="1"/>
    <col min="2" max="2" width="68.125" style="346" customWidth="1"/>
    <col min="3" max="4" width="30.00390625" style="346" customWidth="1"/>
    <col min="5" max="16384" width="10.50390625" style="346" customWidth="1"/>
  </cols>
  <sheetData>
    <row r="1" spans="1:4" ht="35.25" customHeight="1">
      <c r="A1" s="767"/>
      <c r="B1" s="767"/>
      <c r="C1" s="767"/>
      <c r="D1" s="345"/>
    </row>
    <row r="2" spans="1:11" ht="30" customHeight="1">
      <c r="A2" s="768" t="s">
        <v>1000</v>
      </c>
      <c r="B2" s="768"/>
      <c r="C2" s="768"/>
      <c r="D2" s="345"/>
      <c r="E2" s="345"/>
      <c r="F2" s="345"/>
      <c r="G2" s="345"/>
      <c r="H2" s="345"/>
      <c r="I2" s="345"/>
      <c r="J2" s="345"/>
      <c r="K2" s="345"/>
    </row>
    <row r="3" spans="1:4" ht="30" customHeight="1">
      <c r="A3" s="769" t="s">
        <v>1001</v>
      </c>
      <c r="B3" s="769"/>
      <c r="C3" s="769"/>
      <c r="D3" s="345"/>
    </row>
    <row r="4" spans="1:4" ht="26.25" customHeight="1">
      <c r="A4" s="347" t="s">
        <v>608</v>
      </c>
      <c r="B4" s="348" t="s">
        <v>34</v>
      </c>
      <c r="C4" s="348" t="s">
        <v>609</v>
      </c>
      <c r="D4" s="348" t="s">
        <v>609</v>
      </c>
    </row>
    <row r="5" spans="1:4" ht="19.5" customHeight="1">
      <c r="A5" s="349"/>
      <c r="B5" s="350" t="s">
        <v>42</v>
      </c>
      <c r="C5" s="351"/>
      <c r="D5" s="351"/>
    </row>
    <row r="6" spans="1:4" ht="19.5" customHeight="1">
      <c r="A6" s="352" t="s">
        <v>0</v>
      </c>
      <c r="B6" s="353" t="s">
        <v>610</v>
      </c>
      <c r="C6" s="354">
        <f>'3.mell'!D27</f>
        <v>520500000</v>
      </c>
      <c r="D6" s="354">
        <f>'3.mell'!E27</f>
        <v>499100000</v>
      </c>
    </row>
    <row r="7" spans="1:4" ht="19.5" customHeight="1">
      <c r="A7" s="352" t="s">
        <v>1</v>
      </c>
      <c r="B7" s="353" t="s">
        <v>611</v>
      </c>
      <c r="C7" s="354"/>
      <c r="D7" s="354"/>
    </row>
    <row r="8" spans="1:4" ht="28.5" customHeight="1">
      <c r="A8" s="352" t="s">
        <v>2</v>
      </c>
      <c r="B8" s="355" t="s">
        <v>612</v>
      </c>
      <c r="C8" s="354">
        <f>'7.a.mell'!D51</f>
        <v>50000000</v>
      </c>
      <c r="D8" s="354">
        <f>'7.a.mell'!E51</f>
        <v>50000000</v>
      </c>
    </row>
    <row r="9" spans="1:4" ht="19.5" customHeight="1">
      <c r="A9" s="352" t="s">
        <v>3</v>
      </c>
      <c r="B9" s="353" t="s">
        <v>613</v>
      </c>
      <c r="C9" s="354"/>
      <c r="D9" s="354"/>
    </row>
    <row r="10" spans="1:4" ht="19.5" customHeight="1">
      <c r="A10" s="352" t="s">
        <v>4</v>
      </c>
      <c r="B10" s="356" t="s">
        <v>614</v>
      </c>
      <c r="C10" s="354"/>
      <c r="D10" s="354"/>
    </row>
    <row r="11" spans="1:4" ht="19.5" customHeight="1">
      <c r="A11" s="352" t="s">
        <v>5</v>
      </c>
      <c r="B11" s="353" t="s">
        <v>615</v>
      </c>
      <c r="C11" s="354"/>
      <c r="D11" s="354"/>
    </row>
    <row r="12" spans="1:4" ht="19.5" customHeight="1">
      <c r="A12" s="352" t="s">
        <v>6</v>
      </c>
      <c r="B12" s="353" t="s">
        <v>616</v>
      </c>
      <c r="C12" s="354"/>
      <c r="D12" s="354"/>
    </row>
    <row r="13" spans="1:4" ht="19.5" customHeight="1">
      <c r="A13" s="352"/>
      <c r="B13" s="357" t="s">
        <v>617</v>
      </c>
      <c r="C13" s="358">
        <f>SUM(C6:C12)</f>
        <v>570500000</v>
      </c>
      <c r="D13" s="358">
        <f>SUM(D6:D12)</f>
        <v>549100000</v>
      </c>
    </row>
    <row r="14" spans="1:4" ht="19.5" customHeight="1">
      <c r="A14" s="352"/>
      <c r="B14" s="357" t="s">
        <v>618</v>
      </c>
      <c r="C14" s="358">
        <f>C13/2</f>
        <v>285250000</v>
      </c>
      <c r="D14" s="358">
        <f>D13/2</f>
        <v>274550000</v>
      </c>
    </row>
    <row r="15" spans="1:4" ht="19.5" customHeight="1">
      <c r="A15" s="352"/>
      <c r="B15" s="357" t="s">
        <v>619</v>
      </c>
      <c r="C15" s="354"/>
      <c r="D15" s="354"/>
    </row>
    <row r="16" spans="1:4" ht="19.5" customHeight="1">
      <c r="A16" s="352" t="s">
        <v>7</v>
      </c>
      <c r="B16" s="353" t="s">
        <v>620</v>
      </c>
      <c r="C16" s="354"/>
      <c r="D16" s="354"/>
    </row>
    <row r="17" spans="1:4" ht="19.5" customHeight="1">
      <c r="A17" s="352" t="s">
        <v>204</v>
      </c>
      <c r="B17" s="353" t="s">
        <v>621</v>
      </c>
      <c r="C17" s="354"/>
      <c r="D17" s="354"/>
    </row>
    <row r="18" spans="1:4" ht="19.5" customHeight="1">
      <c r="A18" s="359"/>
      <c r="B18" s="357" t="s">
        <v>622</v>
      </c>
      <c r="C18" s="354"/>
      <c r="D18" s="354"/>
    </row>
    <row r="19" spans="1:4" ht="19.5" customHeight="1">
      <c r="A19" s="359"/>
      <c r="B19" s="357" t="s">
        <v>623</v>
      </c>
      <c r="C19" s="358">
        <f>C14</f>
        <v>285250000</v>
      </c>
      <c r="D19" s="358">
        <f>D14</f>
        <v>274550000</v>
      </c>
    </row>
    <row r="32" ht="12.75">
      <c r="B32" s="36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8"/>
  <sheetViews>
    <sheetView view="pageBreakPreview" zoomScale="60" zoomScalePageLayoutView="90" workbookViewId="0" topLeftCell="A1">
      <selection activeCell="M26" sqref="M26"/>
    </sheetView>
  </sheetViews>
  <sheetFormatPr defaultColWidth="9.00390625" defaultRowHeight="12.75"/>
  <cols>
    <col min="1" max="1" width="15.375" style="0" customWidth="1"/>
    <col min="2" max="2" width="62.625" style="0" customWidth="1"/>
    <col min="3" max="4" width="24.875" style="0" customWidth="1"/>
    <col min="5" max="5" width="17.875" style="0" customWidth="1"/>
    <col min="6" max="6" width="19.50390625" style="0" customWidth="1"/>
    <col min="7" max="7" width="14.875" style="0" customWidth="1"/>
    <col min="8" max="8" width="23.00390625" style="0" customWidth="1"/>
    <col min="9" max="9" width="17.00390625" style="0" customWidth="1"/>
    <col min="10" max="10" width="14.125" style="343" customWidth="1"/>
  </cols>
  <sheetData>
    <row r="2" spans="1:10" s="319" customFormat="1" ht="15">
      <c r="A2" s="775" t="s">
        <v>1002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s="319" customFormat="1" ht="15">
      <c r="A3" s="775"/>
      <c r="B3" s="775"/>
      <c r="C3" s="775"/>
      <c r="D3" s="775"/>
      <c r="E3" s="775"/>
      <c r="F3" s="775"/>
      <c r="G3" s="775"/>
      <c r="H3" s="775"/>
      <c r="I3" s="775"/>
      <c r="J3" s="775"/>
    </row>
    <row r="4" spans="9:10" ht="15">
      <c r="I4" s="320"/>
      <c r="J4" s="321" t="s">
        <v>595</v>
      </c>
    </row>
    <row r="5" spans="1:10" s="323" customFormat="1" ht="54" customHeight="1">
      <c r="A5" s="776" t="s">
        <v>596</v>
      </c>
      <c r="B5" s="777"/>
      <c r="C5" s="322" t="s">
        <v>1003</v>
      </c>
      <c r="D5" s="322" t="s">
        <v>1004</v>
      </c>
      <c r="E5" s="322" t="s">
        <v>597</v>
      </c>
      <c r="F5" s="322" t="s">
        <v>598</v>
      </c>
      <c r="G5" s="322" t="s">
        <v>599</v>
      </c>
      <c r="H5" s="322" t="s">
        <v>600</v>
      </c>
      <c r="I5" s="322" t="s">
        <v>601</v>
      </c>
      <c r="J5" s="322" t="s">
        <v>602</v>
      </c>
    </row>
    <row r="6" spans="1:10" ht="19.5" customHeight="1">
      <c r="A6" s="770" t="s">
        <v>603</v>
      </c>
      <c r="B6" s="771"/>
      <c r="C6" s="324"/>
      <c r="D6" s="325"/>
      <c r="E6" s="325"/>
      <c r="F6" s="325"/>
      <c r="G6" s="325"/>
      <c r="H6" s="325"/>
      <c r="I6" s="325"/>
      <c r="J6" s="326"/>
    </row>
    <row r="7" spans="1:10" ht="19.5" customHeight="1">
      <c r="A7" s="327"/>
      <c r="B7" s="328" t="s">
        <v>591</v>
      </c>
      <c r="C7" s="399">
        <v>16.5</v>
      </c>
      <c r="D7" s="329">
        <v>16.5</v>
      </c>
      <c r="E7" s="329">
        <v>16.5</v>
      </c>
      <c r="F7" s="329"/>
      <c r="G7" s="329"/>
      <c r="H7" s="329"/>
      <c r="I7" s="329"/>
      <c r="J7" s="329"/>
    </row>
    <row r="8" spans="1:10" ht="19.5" customHeight="1">
      <c r="A8" s="770" t="s">
        <v>1005</v>
      </c>
      <c r="B8" s="771"/>
      <c r="C8" s="325"/>
      <c r="D8" s="325"/>
      <c r="E8" s="325"/>
      <c r="F8" s="325"/>
      <c r="G8" s="325"/>
      <c r="H8" s="325"/>
      <c r="I8" s="325"/>
      <c r="J8" s="326"/>
    </row>
    <row r="9" spans="1:10" ht="19.5" customHeight="1">
      <c r="A9" s="327"/>
      <c r="B9" s="328" t="s">
        <v>591</v>
      </c>
      <c r="C9" s="329">
        <v>36</v>
      </c>
      <c r="D9" s="329">
        <v>36</v>
      </c>
      <c r="E9" s="329"/>
      <c r="F9" s="329">
        <v>36</v>
      </c>
      <c r="G9" s="329"/>
      <c r="H9" s="329"/>
      <c r="I9" s="329"/>
      <c r="J9" s="330"/>
    </row>
    <row r="10" spans="1:10" ht="19.5" customHeight="1">
      <c r="A10" s="770" t="s">
        <v>1006</v>
      </c>
      <c r="B10" s="771"/>
      <c r="C10" s="325"/>
      <c r="D10" s="325"/>
      <c r="E10" s="325"/>
      <c r="F10" s="325"/>
      <c r="G10" s="325"/>
      <c r="H10" s="325"/>
      <c r="I10" s="325"/>
      <c r="J10" s="326"/>
    </row>
    <row r="11" spans="1:10" ht="19.5" customHeight="1">
      <c r="A11" s="327"/>
      <c r="B11" s="328" t="s">
        <v>591</v>
      </c>
      <c r="C11" s="329">
        <v>5</v>
      </c>
      <c r="D11" s="329">
        <v>5</v>
      </c>
      <c r="E11" s="329"/>
      <c r="F11" s="329">
        <v>5</v>
      </c>
      <c r="G11" s="329"/>
      <c r="H11" s="329"/>
      <c r="I11" s="329"/>
      <c r="J11" s="330"/>
    </row>
    <row r="12" spans="1:10" ht="19.5" customHeight="1">
      <c r="A12" s="770" t="s">
        <v>1007</v>
      </c>
      <c r="B12" s="771"/>
      <c r="C12" s="325"/>
      <c r="D12" s="325"/>
      <c r="E12" s="325"/>
      <c r="F12" s="325"/>
      <c r="G12" s="325"/>
      <c r="H12" s="325"/>
      <c r="I12" s="325"/>
      <c r="J12" s="326"/>
    </row>
    <row r="13" spans="1:10" ht="19.5" customHeight="1">
      <c r="A13" s="327"/>
      <c r="B13" s="328" t="s">
        <v>591</v>
      </c>
      <c r="C13" s="329">
        <v>9</v>
      </c>
      <c r="D13" s="329">
        <v>9</v>
      </c>
      <c r="E13" s="329"/>
      <c r="F13" s="329">
        <v>9</v>
      </c>
      <c r="G13" s="329"/>
      <c r="H13" s="329"/>
      <c r="I13" s="329"/>
      <c r="J13" s="330"/>
    </row>
    <row r="14" spans="1:10" ht="19.5" customHeight="1">
      <c r="A14" s="770" t="s">
        <v>1008</v>
      </c>
      <c r="B14" s="771"/>
      <c r="C14" s="325"/>
      <c r="D14" s="325"/>
      <c r="E14" s="325"/>
      <c r="F14" s="325"/>
      <c r="G14" s="325"/>
      <c r="H14" s="325"/>
      <c r="I14" s="325"/>
      <c r="J14" s="326"/>
    </row>
    <row r="15" spans="1:10" ht="19.5" customHeight="1">
      <c r="A15" s="331"/>
      <c r="B15" s="332" t="s">
        <v>591</v>
      </c>
      <c r="C15" s="333">
        <v>5</v>
      </c>
      <c r="D15" s="333">
        <v>5</v>
      </c>
      <c r="E15" s="333"/>
      <c r="F15" s="333">
        <v>5</v>
      </c>
      <c r="G15" s="333"/>
      <c r="H15" s="333"/>
      <c r="I15" s="333"/>
      <c r="J15" s="334"/>
    </row>
    <row r="16" spans="1:10" s="166" customFormat="1" ht="19.5" customHeight="1">
      <c r="A16" s="772" t="s">
        <v>604</v>
      </c>
      <c r="B16" s="773"/>
      <c r="C16" s="335"/>
      <c r="D16" s="335"/>
      <c r="E16" s="335"/>
      <c r="F16" s="335"/>
      <c r="G16" s="335"/>
      <c r="H16" s="335"/>
      <c r="I16" s="335"/>
      <c r="J16" s="336"/>
    </row>
    <row r="17" spans="1:10" s="166" customFormat="1" ht="19.5" customHeight="1">
      <c r="A17" s="337"/>
      <c r="B17" s="328" t="s">
        <v>591</v>
      </c>
      <c r="C17" s="329">
        <v>2</v>
      </c>
      <c r="D17" s="329">
        <f>E17+F17+G17+H17+I17+J17</f>
        <v>2</v>
      </c>
      <c r="E17" s="329"/>
      <c r="F17" s="329">
        <v>2</v>
      </c>
      <c r="G17" s="329"/>
      <c r="H17" s="329"/>
      <c r="I17" s="329"/>
      <c r="J17" s="334"/>
    </row>
    <row r="18" spans="1:10" ht="19.5" customHeight="1">
      <c r="A18" s="770" t="s">
        <v>605</v>
      </c>
      <c r="B18" s="771"/>
      <c r="C18" s="325"/>
      <c r="D18" s="325"/>
      <c r="E18" s="325"/>
      <c r="F18" s="325"/>
      <c r="G18" s="325"/>
      <c r="H18" s="325"/>
      <c r="I18" s="325"/>
      <c r="J18" s="326"/>
    </row>
    <row r="19" spans="1:10" ht="19.5" customHeight="1">
      <c r="A19" s="331"/>
      <c r="B19" s="328" t="s">
        <v>591</v>
      </c>
      <c r="C19" s="333">
        <v>4</v>
      </c>
      <c r="D19" s="333">
        <v>3</v>
      </c>
      <c r="E19" s="333"/>
      <c r="F19" s="333"/>
      <c r="G19" s="333"/>
      <c r="H19" s="333">
        <v>3</v>
      </c>
      <c r="I19" s="333"/>
      <c r="J19" s="334"/>
    </row>
    <row r="20" spans="1:10" ht="19.5" customHeight="1">
      <c r="A20" s="770" t="s">
        <v>606</v>
      </c>
      <c r="B20" s="771"/>
      <c r="C20" s="335"/>
      <c r="D20" s="335"/>
      <c r="E20" s="335"/>
      <c r="F20" s="335"/>
      <c r="G20" s="335"/>
      <c r="H20" s="335"/>
      <c r="I20" s="335"/>
      <c r="J20" s="336"/>
    </row>
    <row r="21" spans="1:10" s="166" customFormat="1" ht="19.5" customHeight="1">
      <c r="A21" s="338"/>
      <c r="B21" s="328" t="s">
        <v>591</v>
      </c>
      <c r="C21" s="329">
        <v>3</v>
      </c>
      <c r="D21" s="329">
        <v>3</v>
      </c>
      <c r="E21" s="333">
        <v>3</v>
      </c>
      <c r="F21" s="333"/>
      <c r="G21" s="333"/>
      <c r="H21" s="333"/>
      <c r="I21" s="333"/>
      <c r="J21" s="334"/>
    </row>
    <row r="22" spans="1:10" ht="19.5" customHeight="1">
      <c r="A22" s="774" t="s">
        <v>607</v>
      </c>
      <c r="B22" s="774"/>
      <c r="C22" s="325"/>
      <c r="D22" s="325"/>
      <c r="E22" s="325"/>
      <c r="F22" s="325"/>
      <c r="G22" s="325"/>
      <c r="H22" s="325"/>
      <c r="I22" s="325"/>
      <c r="J22" s="326"/>
    </row>
    <row r="23" spans="1:10" s="166" customFormat="1" ht="19.5" customHeight="1">
      <c r="A23" s="338"/>
      <c r="B23" s="328" t="s">
        <v>591</v>
      </c>
      <c r="C23" s="329">
        <v>6</v>
      </c>
      <c r="D23" s="329">
        <v>6</v>
      </c>
      <c r="E23" s="333"/>
      <c r="F23" s="333"/>
      <c r="G23" s="333">
        <v>6</v>
      </c>
      <c r="H23" s="333"/>
      <c r="I23" s="333"/>
      <c r="J23" s="334"/>
    </row>
    <row r="24" spans="1:10" s="166" customFormat="1" ht="19.5" customHeight="1">
      <c r="A24" s="774" t="s">
        <v>1029</v>
      </c>
      <c r="B24" s="774"/>
      <c r="C24" s="325"/>
      <c r="D24" s="325"/>
      <c r="E24" s="325"/>
      <c r="F24" s="325"/>
      <c r="G24" s="325"/>
      <c r="H24" s="325"/>
      <c r="I24" s="325"/>
      <c r="J24" s="326"/>
    </row>
    <row r="25" spans="1:10" s="166" customFormat="1" ht="19.5" customHeight="1">
      <c r="A25" s="338"/>
      <c r="B25" s="328" t="s">
        <v>591</v>
      </c>
      <c r="C25" s="329">
        <v>6</v>
      </c>
      <c r="D25" s="329">
        <v>6</v>
      </c>
      <c r="E25" s="333"/>
      <c r="F25" s="333">
        <v>2</v>
      </c>
      <c r="G25" s="333"/>
      <c r="H25" s="333"/>
      <c r="I25" s="333"/>
      <c r="J25" s="334">
        <v>4</v>
      </c>
    </row>
    <row r="26" spans="1:10" ht="19.5" customHeight="1" thickBot="1">
      <c r="A26" s="339" t="s">
        <v>1030</v>
      </c>
      <c r="B26" s="340"/>
      <c r="C26" s="341">
        <f aca="true" t="shared" si="0" ref="C26:H26">SUM(C7:C25)</f>
        <v>92.5</v>
      </c>
      <c r="D26" s="341">
        <f t="shared" si="0"/>
        <v>91.5</v>
      </c>
      <c r="E26" s="341">
        <f t="shared" si="0"/>
        <v>19.5</v>
      </c>
      <c r="F26" s="341">
        <f t="shared" si="0"/>
        <v>59</v>
      </c>
      <c r="G26" s="341">
        <f t="shared" si="0"/>
        <v>6</v>
      </c>
      <c r="H26" s="341">
        <f t="shared" si="0"/>
        <v>3</v>
      </c>
      <c r="I26" s="341"/>
      <c r="J26" s="341">
        <f>SUM(J7:J25)</f>
        <v>4</v>
      </c>
    </row>
    <row r="27" spans="1:10" s="166" customFormat="1" ht="19.5" customHeight="1" thickTop="1">
      <c r="A27" s="338"/>
      <c r="B27" s="342" t="s">
        <v>591</v>
      </c>
      <c r="C27" s="333">
        <v>87</v>
      </c>
      <c r="D27" s="333">
        <v>86</v>
      </c>
      <c r="E27" s="333">
        <v>14</v>
      </c>
      <c r="F27" s="333">
        <v>59</v>
      </c>
      <c r="G27" s="333">
        <v>6</v>
      </c>
      <c r="H27" s="333">
        <v>3</v>
      </c>
      <c r="I27" s="333"/>
      <c r="J27" s="333">
        <v>4</v>
      </c>
    </row>
    <row r="28" spans="6:9" ht="12" customHeight="1">
      <c r="F28" s="343"/>
      <c r="G28" s="344"/>
      <c r="H28" s="344"/>
      <c r="I28" s="344"/>
    </row>
  </sheetData>
  <sheetProtection/>
  <mergeCells count="12">
    <mergeCell ref="A2:J3"/>
    <mergeCell ref="A5:B5"/>
    <mergeCell ref="A6:B6"/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62" r:id="rId1"/>
  <headerFooter>
    <oddHeader>&amp;Ra 12/2020. (VII. 10.) önkormányzati rendelet 16. melléklete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60" workbookViewId="0" topLeftCell="A1">
      <selection activeCell="C119" sqref="C119"/>
    </sheetView>
  </sheetViews>
  <sheetFormatPr defaultColWidth="10.50390625" defaultRowHeight="12.75"/>
  <cols>
    <col min="1" max="1" width="12.50390625" style="346" customWidth="1"/>
    <col min="2" max="2" width="68.125" style="346" customWidth="1"/>
    <col min="3" max="4" width="30.00390625" style="346" customWidth="1"/>
    <col min="5" max="16384" width="10.50390625" style="346" customWidth="1"/>
  </cols>
  <sheetData>
    <row r="1" spans="1:4" ht="35.25" customHeight="1">
      <c r="A1" s="767"/>
      <c r="B1" s="767"/>
      <c r="C1" s="767"/>
      <c r="D1" s="345"/>
    </row>
    <row r="2" spans="1:11" ht="30" customHeight="1">
      <c r="A2" s="768" t="s">
        <v>624</v>
      </c>
      <c r="B2" s="768"/>
      <c r="C2" s="768"/>
      <c r="D2" s="345"/>
      <c r="E2" s="345"/>
      <c r="F2" s="345"/>
      <c r="G2" s="345"/>
      <c r="H2" s="345"/>
      <c r="I2" s="345"/>
      <c r="J2" s="345"/>
      <c r="K2" s="345"/>
    </row>
    <row r="3" spans="1:4" ht="30" customHeight="1">
      <c r="A3" s="769" t="s">
        <v>1009</v>
      </c>
      <c r="B3" s="769"/>
      <c r="C3" s="769"/>
      <c r="D3" s="345"/>
    </row>
    <row r="4" spans="1:4" ht="26.25" customHeight="1">
      <c r="A4" s="347" t="s">
        <v>608</v>
      </c>
      <c r="B4" s="348" t="s">
        <v>34</v>
      </c>
      <c r="C4" s="348" t="s">
        <v>609</v>
      </c>
      <c r="D4" s="348" t="s">
        <v>609</v>
      </c>
    </row>
    <row r="5" spans="1:4" ht="19.5" customHeight="1">
      <c r="A5" s="349"/>
      <c r="B5" s="350" t="s">
        <v>42</v>
      </c>
      <c r="C5" s="351"/>
      <c r="D5" s="351"/>
    </row>
    <row r="6" spans="1:4" ht="19.5" customHeight="1">
      <c r="A6" s="352" t="s">
        <v>0</v>
      </c>
      <c r="B6" s="353" t="s">
        <v>610</v>
      </c>
      <c r="C6" s="354">
        <f>'3.mell'!D27</f>
        <v>520500000</v>
      </c>
      <c r="D6" s="354">
        <f>'3.mell'!E27</f>
        <v>499100000</v>
      </c>
    </row>
    <row r="7" spans="1:4" ht="19.5" customHeight="1">
      <c r="A7" s="352" t="s">
        <v>1</v>
      </c>
      <c r="B7" s="353" t="s">
        <v>611</v>
      </c>
      <c r="C7" s="354"/>
      <c r="D7" s="354"/>
    </row>
    <row r="8" spans="1:4" ht="28.5" customHeight="1">
      <c r="A8" s="352" t="s">
        <v>2</v>
      </c>
      <c r="B8" s="355" t="s">
        <v>612</v>
      </c>
      <c r="C8" s="354">
        <f>'7.a.mell'!D51</f>
        <v>50000000</v>
      </c>
      <c r="D8" s="354">
        <f>'7.a.mell'!E51</f>
        <v>50000000</v>
      </c>
    </row>
    <row r="9" spans="1:4" ht="19.5" customHeight="1">
      <c r="A9" s="352" t="s">
        <v>3</v>
      </c>
      <c r="B9" s="353" t="s">
        <v>613</v>
      </c>
      <c r="C9" s="354"/>
      <c r="D9" s="354"/>
    </row>
    <row r="10" spans="1:4" ht="19.5" customHeight="1">
      <c r="A10" s="352" t="s">
        <v>4</v>
      </c>
      <c r="B10" s="356" t="s">
        <v>614</v>
      </c>
      <c r="C10" s="354"/>
      <c r="D10" s="354"/>
    </row>
    <row r="11" spans="1:4" ht="19.5" customHeight="1">
      <c r="A11" s="352" t="s">
        <v>5</v>
      </c>
      <c r="B11" s="353" t="s">
        <v>615</v>
      </c>
      <c r="C11" s="354"/>
      <c r="D11" s="354"/>
    </row>
    <row r="12" spans="1:4" ht="19.5" customHeight="1">
      <c r="A12" s="352" t="s">
        <v>6</v>
      </c>
      <c r="B12" s="353" t="s">
        <v>616</v>
      </c>
      <c r="C12" s="354"/>
      <c r="D12" s="354"/>
    </row>
    <row r="13" spans="1:4" ht="19.5" customHeight="1">
      <c r="A13" s="352"/>
      <c r="B13" s="357" t="s">
        <v>617</v>
      </c>
      <c r="C13" s="358">
        <f>SUM(C6:C12)</f>
        <v>570500000</v>
      </c>
      <c r="D13" s="358">
        <f>SUM(D6:D12)</f>
        <v>549100000</v>
      </c>
    </row>
    <row r="14" spans="1:4" ht="19.5" customHeight="1">
      <c r="A14" s="352"/>
      <c r="B14" s="357" t="s">
        <v>618</v>
      </c>
      <c r="C14" s="358">
        <f>C13/2</f>
        <v>285250000</v>
      </c>
      <c r="D14" s="358">
        <f>D13/2</f>
        <v>274550000</v>
      </c>
    </row>
    <row r="15" spans="1:4" ht="19.5" customHeight="1">
      <c r="A15" s="352"/>
      <c r="B15" s="357" t="s">
        <v>619</v>
      </c>
      <c r="C15" s="354"/>
      <c r="D15" s="354"/>
    </row>
    <row r="16" spans="1:4" ht="19.5" customHeight="1">
      <c r="A16" s="352" t="s">
        <v>7</v>
      </c>
      <c r="B16" s="353" t="s">
        <v>620</v>
      </c>
      <c r="C16" s="354"/>
      <c r="D16" s="354"/>
    </row>
    <row r="17" spans="1:4" ht="19.5" customHeight="1">
      <c r="A17" s="352" t="s">
        <v>204</v>
      </c>
      <c r="B17" s="353" t="s">
        <v>621</v>
      </c>
      <c r="C17" s="354"/>
      <c r="D17" s="354"/>
    </row>
    <row r="18" spans="1:4" ht="19.5" customHeight="1">
      <c r="A18" s="359"/>
      <c r="B18" s="357" t="s">
        <v>622</v>
      </c>
      <c r="C18" s="354"/>
      <c r="D18" s="354"/>
    </row>
    <row r="19" spans="1:4" ht="19.5" customHeight="1">
      <c r="A19" s="359"/>
      <c r="B19" s="357" t="s">
        <v>623</v>
      </c>
      <c r="C19" s="358">
        <f>C14</f>
        <v>285250000</v>
      </c>
      <c r="D19" s="358">
        <f>D14</f>
        <v>274550000</v>
      </c>
    </row>
    <row r="32" ht="12.75">
      <c r="B32" s="36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Header>&amp;Ra 12/2020. (VII. 10.) önkormányzati rendelet 17. melléklete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3"/>
  <sheetViews>
    <sheetView showZeros="0" view="pageBreakPreview" zoomScaleSheetLayoutView="100"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37" sqref="H137"/>
    </sheetView>
  </sheetViews>
  <sheetFormatPr defaultColWidth="13.125" defaultRowHeight="12.75"/>
  <cols>
    <col min="1" max="1" width="13.125" style="362" customWidth="1"/>
    <col min="2" max="2" width="13.125" style="361" customWidth="1"/>
    <col min="3" max="3" width="36.875" style="532" customWidth="1"/>
    <col min="4" max="4" width="13.125" style="533" customWidth="1"/>
    <col min="5" max="6" width="13.125" style="537" customWidth="1"/>
    <col min="7" max="8" width="15.00390625" style="538" bestFit="1" customWidth="1"/>
    <col min="9" max="9" width="16.50390625" style="361" bestFit="1" customWidth="1"/>
    <col min="10" max="16384" width="13.125" style="361" customWidth="1"/>
  </cols>
  <sheetData>
    <row r="2" ht="12.75">
      <c r="A2" s="362" t="s">
        <v>639</v>
      </c>
    </row>
    <row r="3" spans="1:8" ht="25.5">
      <c r="A3" s="363" t="s">
        <v>640</v>
      </c>
      <c r="B3" s="536" t="s">
        <v>641</v>
      </c>
      <c r="C3" s="535" t="s">
        <v>642</v>
      </c>
      <c r="D3" s="535" t="s">
        <v>643</v>
      </c>
      <c r="E3" s="535" t="s">
        <v>644</v>
      </c>
      <c r="F3" s="535" t="s">
        <v>645</v>
      </c>
      <c r="G3" s="535" t="s">
        <v>1089</v>
      </c>
      <c r="H3" s="535" t="s">
        <v>1090</v>
      </c>
    </row>
    <row r="4" spans="1:8" ht="38.25">
      <c r="A4" s="364" t="s">
        <v>646</v>
      </c>
      <c r="B4" s="365" t="s">
        <v>638</v>
      </c>
      <c r="C4" s="531" t="s">
        <v>647</v>
      </c>
      <c r="D4" s="534" t="s">
        <v>648</v>
      </c>
      <c r="E4" s="646">
        <v>5450000</v>
      </c>
      <c r="F4" s="648">
        <v>16.59</v>
      </c>
      <c r="G4" s="647">
        <v>90415500</v>
      </c>
      <c r="H4" s="647"/>
    </row>
    <row r="5" spans="1:8" ht="25.5">
      <c r="A5" s="649" t="s">
        <v>649</v>
      </c>
      <c r="B5" s="650" t="s">
        <v>650</v>
      </c>
      <c r="C5" s="651" t="s">
        <v>651</v>
      </c>
      <c r="D5" s="544" t="s">
        <v>652</v>
      </c>
      <c r="E5" s="652">
        <v>5450000</v>
      </c>
      <c r="F5" s="652">
        <v>0</v>
      </c>
      <c r="G5" s="653">
        <v>224192</v>
      </c>
      <c r="H5" s="653">
        <v>6680907</v>
      </c>
    </row>
    <row r="6" spans="1:8" ht="12.75">
      <c r="A6" s="364" t="s">
        <v>653</v>
      </c>
      <c r="B6" s="365" t="s">
        <v>654</v>
      </c>
      <c r="C6" s="531" t="s">
        <v>655</v>
      </c>
      <c r="D6" s="534" t="s">
        <v>652</v>
      </c>
      <c r="E6" s="646">
        <v>0</v>
      </c>
      <c r="F6" s="646">
        <v>0</v>
      </c>
      <c r="G6" s="647">
        <f>SUM(G7:G10)</f>
        <v>48154278</v>
      </c>
      <c r="H6" s="647">
        <f>SUM(H7:H10)</f>
        <v>0</v>
      </c>
    </row>
    <row r="7" spans="1:8" ht="38.25">
      <c r="A7" s="364" t="s">
        <v>656</v>
      </c>
      <c r="B7" s="365" t="s">
        <v>657</v>
      </c>
      <c r="C7" s="531" t="s">
        <v>658</v>
      </c>
      <c r="D7" s="534" t="s">
        <v>659</v>
      </c>
      <c r="E7" s="646">
        <v>25200</v>
      </c>
      <c r="F7" s="646">
        <v>0</v>
      </c>
      <c r="G7" s="647">
        <v>16143120</v>
      </c>
      <c r="H7" s="647"/>
    </row>
    <row r="8" spans="1:8" ht="25.5">
      <c r="A8" s="364" t="s">
        <v>660</v>
      </c>
      <c r="B8" s="365" t="s">
        <v>661</v>
      </c>
      <c r="C8" s="531" t="s">
        <v>662</v>
      </c>
      <c r="D8" s="534" t="s">
        <v>663</v>
      </c>
      <c r="E8" s="646">
        <v>0</v>
      </c>
      <c r="F8" s="646">
        <v>0</v>
      </c>
      <c r="G8" s="647">
        <v>16896000</v>
      </c>
      <c r="H8" s="647"/>
    </row>
    <row r="9" spans="1:8" ht="25.5">
      <c r="A9" s="364" t="s">
        <v>664</v>
      </c>
      <c r="B9" s="365" t="s">
        <v>665</v>
      </c>
      <c r="C9" s="531" t="s">
        <v>666</v>
      </c>
      <c r="D9" s="534" t="s">
        <v>667</v>
      </c>
      <c r="E9" s="646">
        <v>0</v>
      </c>
      <c r="F9" s="646">
        <v>0</v>
      </c>
      <c r="G9" s="647">
        <v>1583688</v>
      </c>
      <c r="H9" s="647"/>
    </row>
    <row r="10" spans="1:8" ht="12.75">
      <c r="A10" s="364" t="s">
        <v>668</v>
      </c>
      <c r="B10" s="365" t="s">
        <v>669</v>
      </c>
      <c r="C10" s="531" t="s">
        <v>670</v>
      </c>
      <c r="D10" s="534" t="s">
        <v>663</v>
      </c>
      <c r="E10" s="646">
        <v>0</v>
      </c>
      <c r="F10" s="646">
        <v>0</v>
      </c>
      <c r="G10" s="647">
        <v>13531470</v>
      </c>
      <c r="H10" s="647"/>
    </row>
    <row r="11" spans="1:8" ht="12.75">
      <c r="A11" s="649" t="s">
        <v>671</v>
      </c>
      <c r="B11" s="650" t="s">
        <v>672</v>
      </c>
      <c r="C11" s="651" t="s">
        <v>673</v>
      </c>
      <c r="D11" s="544" t="s">
        <v>652</v>
      </c>
      <c r="E11" s="652">
        <v>0</v>
      </c>
      <c r="F11" s="652">
        <v>0</v>
      </c>
      <c r="G11" s="653">
        <f>SUM(G12+G13+G14+G15)</f>
        <v>0</v>
      </c>
      <c r="H11" s="653">
        <f>SUM(H12+H13+H14+H15)</f>
        <v>0</v>
      </c>
    </row>
    <row r="12" spans="1:8" ht="38.25">
      <c r="A12" s="649" t="s">
        <v>674</v>
      </c>
      <c r="B12" s="650" t="s">
        <v>675</v>
      </c>
      <c r="C12" s="651" t="s">
        <v>676</v>
      </c>
      <c r="D12" s="544" t="s">
        <v>652</v>
      </c>
      <c r="E12" s="652">
        <v>25200</v>
      </c>
      <c r="F12" s="652">
        <v>0</v>
      </c>
      <c r="G12" s="653">
        <v>0</v>
      </c>
      <c r="H12" s="653">
        <v>0</v>
      </c>
    </row>
    <row r="13" spans="1:8" ht="25.5">
      <c r="A13" s="649" t="s">
        <v>677</v>
      </c>
      <c r="B13" s="650" t="s">
        <v>678</v>
      </c>
      <c r="C13" s="651" t="s">
        <v>679</v>
      </c>
      <c r="D13" s="544" t="s">
        <v>652</v>
      </c>
      <c r="E13" s="652">
        <v>0</v>
      </c>
      <c r="F13" s="652">
        <v>0</v>
      </c>
      <c r="G13" s="653">
        <v>0</v>
      </c>
      <c r="H13" s="653">
        <v>0</v>
      </c>
    </row>
    <row r="14" spans="1:8" ht="38.25">
      <c r="A14" s="649" t="s">
        <v>680</v>
      </c>
      <c r="B14" s="650" t="s">
        <v>681</v>
      </c>
      <c r="C14" s="651" t="s">
        <v>682</v>
      </c>
      <c r="D14" s="544" t="s">
        <v>652</v>
      </c>
      <c r="E14" s="652">
        <v>0</v>
      </c>
      <c r="F14" s="652">
        <v>0</v>
      </c>
      <c r="G14" s="653">
        <v>0</v>
      </c>
      <c r="H14" s="653">
        <v>0</v>
      </c>
    </row>
    <row r="15" spans="1:8" ht="25.5">
      <c r="A15" s="649" t="s">
        <v>683</v>
      </c>
      <c r="B15" s="650" t="s">
        <v>684</v>
      </c>
      <c r="C15" s="651" t="s">
        <v>685</v>
      </c>
      <c r="D15" s="544" t="s">
        <v>652</v>
      </c>
      <c r="E15" s="652">
        <v>0</v>
      </c>
      <c r="F15" s="652">
        <v>0</v>
      </c>
      <c r="G15" s="653">
        <v>0</v>
      </c>
      <c r="H15" s="653">
        <v>0</v>
      </c>
    </row>
    <row r="16" spans="1:8" ht="25.5">
      <c r="A16" s="364" t="s">
        <v>686</v>
      </c>
      <c r="B16" s="365" t="s">
        <v>687</v>
      </c>
      <c r="C16" s="531" t="s">
        <v>688</v>
      </c>
      <c r="D16" s="534" t="s">
        <v>595</v>
      </c>
      <c r="E16" s="646">
        <v>2700</v>
      </c>
      <c r="F16" s="646">
        <v>0</v>
      </c>
      <c r="G16" s="647">
        <v>14615100</v>
      </c>
      <c r="H16" s="647">
        <v>0</v>
      </c>
    </row>
    <row r="17" spans="1:8" ht="25.5">
      <c r="A17" s="649" t="s">
        <v>689</v>
      </c>
      <c r="B17" s="650" t="s">
        <v>690</v>
      </c>
      <c r="C17" s="651" t="s">
        <v>691</v>
      </c>
      <c r="D17" s="544" t="s">
        <v>652</v>
      </c>
      <c r="E17" s="652">
        <v>2700</v>
      </c>
      <c r="F17" s="652">
        <v>0</v>
      </c>
      <c r="G17" s="653">
        <v>0</v>
      </c>
      <c r="H17" s="653">
        <v>0</v>
      </c>
    </row>
    <row r="18" spans="1:8" ht="25.5">
      <c r="A18" s="364" t="s">
        <v>692</v>
      </c>
      <c r="B18" s="365" t="s">
        <v>693</v>
      </c>
      <c r="C18" s="531" t="s">
        <v>694</v>
      </c>
      <c r="D18" s="534" t="s">
        <v>695</v>
      </c>
      <c r="E18" s="646">
        <v>2550</v>
      </c>
      <c r="F18" s="646">
        <v>0</v>
      </c>
      <c r="G18" s="647"/>
      <c r="H18" s="647"/>
    </row>
    <row r="19" spans="1:8" ht="38.25">
      <c r="A19" s="649" t="s">
        <v>696</v>
      </c>
      <c r="B19" s="650" t="s">
        <v>697</v>
      </c>
      <c r="C19" s="651" t="s">
        <v>698</v>
      </c>
      <c r="D19" s="544" t="s">
        <v>652</v>
      </c>
      <c r="E19" s="652">
        <v>2550</v>
      </c>
      <c r="F19" s="652">
        <v>0</v>
      </c>
      <c r="G19" s="653">
        <v>0</v>
      </c>
      <c r="H19" s="653">
        <v>0</v>
      </c>
    </row>
    <row r="20" spans="1:8" ht="25.5">
      <c r="A20" s="364" t="s">
        <v>699</v>
      </c>
      <c r="B20" s="365" t="s">
        <v>700</v>
      </c>
      <c r="C20" s="531" t="s">
        <v>701</v>
      </c>
      <c r="D20" s="534" t="s">
        <v>702</v>
      </c>
      <c r="E20" s="646">
        <v>1</v>
      </c>
      <c r="F20" s="646">
        <v>0</v>
      </c>
      <c r="G20" s="647">
        <v>0</v>
      </c>
      <c r="H20" s="647">
        <v>0</v>
      </c>
    </row>
    <row r="21" spans="1:8" ht="25.5">
      <c r="A21" s="649" t="s">
        <v>703</v>
      </c>
      <c r="B21" s="650" t="s">
        <v>704</v>
      </c>
      <c r="C21" s="651" t="s">
        <v>705</v>
      </c>
      <c r="D21" s="544" t="s">
        <v>652</v>
      </c>
      <c r="E21" s="652">
        <v>1</v>
      </c>
      <c r="F21" s="652">
        <v>0</v>
      </c>
      <c r="G21" s="653">
        <v>0</v>
      </c>
      <c r="H21" s="653">
        <v>0</v>
      </c>
    </row>
    <row r="22" spans="1:8" ht="25.5">
      <c r="A22" s="649" t="s">
        <v>706</v>
      </c>
      <c r="B22" s="650" t="s">
        <v>707</v>
      </c>
      <c r="C22" s="651" t="s">
        <v>708</v>
      </c>
      <c r="D22" s="544" t="s">
        <v>652</v>
      </c>
      <c r="E22" s="652">
        <v>0</v>
      </c>
      <c r="F22" s="652">
        <v>0</v>
      </c>
      <c r="G22" s="653">
        <v>140854949</v>
      </c>
      <c r="H22" s="653"/>
    </row>
    <row r="23" spans="1:8" ht="25.5">
      <c r="A23" s="364" t="s">
        <v>709</v>
      </c>
      <c r="B23" s="365" t="s">
        <v>710</v>
      </c>
      <c r="C23" s="531" t="s">
        <v>711</v>
      </c>
      <c r="D23" s="534" t="s">
        <v>652</v>
      </c>
      <c r="E23" s="646">
        <v>0</v>
      </c>
      <c r="F23" s="646">
        <v>0</v>
      </c>
      <c r="G23" s="647">
        <v>0</v>
      </c>
      <c r="H23" s="647">
        <v>0</v>
      </c>
    </row>
    <row r="24" spans="1:8" ht="38.25">
      <c r="A24" s="364" t="s">
        <v>712</v>
      </c>
      <c r="B24" s="365" t="s">
        <v>713</v>
      </c>
      <c r="C24" s="531" t="s">
        <v>714</v>
      </c>
      <c r="D24" s="534" t="s">
        <v>652</v>
      </c>
      <c r="E24" s="646">
        <v>0</v>
      </c>
      <c r="F24" s="646">
        <v>0</v>
      </c>
      <c r="G24" s="647">
        <v>0</v>
      </c>
      <c r="H24" s="647">
        <v>0</v>
      </c>
    </row>
    <row r="25" spans="1:8" ht="25.5">
      <c r="A25" s="649" t="s">
        <v>715</v>
      </c>
      <c r="B25" s="650" t="s">
        <v>716</v>
      </c>
      <c r="C25" s="651" t="s">
        <v>717</v>
      </c>
      <c r="D25" s="544" t="s">
        <v>652</v>
      </c>
      <c r="E25" s="652">
        <v>0</v>
      </c>
      <c r="F25" s="652">
        <v>0</v>
      </c>
      <c r="G25" s="653">
        <v>3245821</v>
      </c>
      <c r="H25" s="653"/>
    </row>
    <row r="26" spans="1:8" ht="12.75">
      <c r="A26" s="364" t="s">
        <v>718</v>
      </c>
      <c r="B26" s="365" t="s">
        <v>719</v>
      </c>
      <c r="C26" s="531" t="s">
        <v>720</v>
      </c>
      <c r="D26" s="534" t="s">
        <v>652</v>
      </c>
      <c r="E26" s="646">
        <v>0</v>
      </c>
      <c r="F26" s="646">
        <v>0</v>
      </c>
      <c r="G26" s="647">
        <v>0</v>
      </c>
      <c r="H26" s="647">
        <v>0</v>
      </c>
    </row>
    <row r="27" spans="1:8" ht="25.5">
      <c r="A27" s="364" t="s">
        <v>721</v>
      </c>
      <c r="B27" s="365" t="s">
        <v>722</v>
      </c>
      <c r="C27" s="531" t="s">
        <v>723</v>
      </c>
      <c r="D27" s="534" t="s">
        <v>724</v>
      </c>
      <c r="E27" s="646">
        <v>100</v>
      </c>
      <c r="F27" s="646">
        <v>0</v>
      </c>
      <c r="G27" s="647">
        <v>0</v>
      </c>
      <c r="H27" s="647">
        <v>0</v>
      </c>
    </row>
    <row r="28" spans="1:8" ht="38.25">
      <c r="A28" s="364" t="s">
        <v>725</v>
      </c>
      <c r="B28" s="365" t="s">
        <v>726</v>
      </c>
      <c r="C28" s="531" t="s">
        <v>727</v>
      </c>
      <c r="D28" s="534" t="s">
        <v>728</v>
      </c>
      <c r="E28" s="646">
        <v>2</v>
      </c>
      <c r="F28" s="646">
        <v>0</v>
      </c>
      <c r="G28" s="647">
        <v>0</v>
      </c>
      <c r="H28" s="647">
        <v>0</v>
      </c>
    </row>
    <row r="29" spans="1:8" ht="12.75">
      <c r="A29" s="364" t="s">
        <v>729</v>
      </c>
      <c r="B29" s="365" t="s">
        <v>730</v>
      </c>
      <c r="C29" s="531" t="s">
        <v>731</v>
      </c>
      <c r="D29" s="534" t="s">
        <v>652</v>
      </c>
      <c r="E29" s="646">
        <v>0</v>
      </c>
      <c r="F29" s="646">
        <v>0</v>
      </c>
      <c r="G29" s="647">
        <v>0</v>
      </c>
      <c r="H29" s="647">
        <v>0</v>
      </c>
    </row>
    <row r="30" spans="1:8" ht="38.25">
      <c r="A30" s="649" t="s">
        <v>732</v>
      </c>
      <c r="B30" s="650" t="s">
        <v>733</v>
      </c>
      <c r="C30" s="651" t="s">
        <v>734</v>
      </c>
      <c r="D30" s="544" t="s">
        <v>652</v>
      </c>
      <c r="E30" s="652">
        <v>0</v>
      </c>
      <c r="F30" s="653">
        <f>+F5+F11+F27+F28+F29</f>
        <v>0</v>
      </c>
      <c r="G30" s="653">
        <f>+G5+G11+G27+G28+G29</f>
        <v>224192</v>
      </c>
      <c r="H30" s="653">
        <f>+H5+H11+H27+H28+H29</f>
        <v>6680907</v>
      </c>
    </row>
    <row r="31" spans="1:8" ht="12.75">
      <c r="A31" s="366" t="s">
        <v>735</v>
      </c>
      <c r="B31" s="365"/>
      <c r="C31" s="531"/>
      <c r="D31" s="534"/>
      <c r="E31" s="542"/>
      <c r="F31" s="542"/>
      <c r="G31" s="543"/>
      <c r="H31" s="543"/>
    </row>
    <row r="32" spans="1:8" ht="12.75">
      <c r="A32" s="366" t="s">
        <v>625</v>
      </c>
      <c r="B32" s="365"/>
      <c r="C32" s="531"/>
      <c r="D32" s="534"/>
      <c r="E32" s="542"/>
      <c r="F32" s="542"/>
      <c r="G32" s="543"/>
      <c r="H32" s="543"/>
    </row>
    <row r="33" spans="1:8" ht="12.75">
      <c r="A33" s="364" t="s">
        <v>736</v>
      </c>
      <c r="B33" s="365" t="s">
        <v>737</v>
      </c>
      <c r="C33" s="531" t="s">
        <v>738</v>
      </c>
      <c r="D33" s="534" t="s">
        <v>595</v>
      </c>
      <c r="E33" s="542">
        <v>4371500</v>
      </c>
      <c r="F33" s="542">
        <v>20.5</v>
      </c>
      <c r="G33" s="543">
        <v>89615750</v>
      </c>
      <c r="H33" s="543">
        <f>+G33*0.52</f>
        <v>46600190</v>
      </c>
    </row>
    <row r="34" spans="1:9" ht="51">
      <c r="A34" s="364" t="s">
        <v>739</v>
      </c>
      <c r="B34" s="365" t="s">
        <v>740</v>
      </c>
      <c r="C34" s="531" t="s">
        <v>741</v>
      </c>
      <c r="D34" s="534" t="s">
        <v>595</v>
      </c>
      <c r="E34" s="542">
        <v>2400000</v>
      </c>
      <c r="F34" s="542">
        <v>13</v>
      </c>
      <c r="G34" s="543">
        <v>31200000</v>
      </c>
      <c r="H34" s="543">
        <f>+G34*0.52</f>
        <v>16224000</v>
      </c>
      <c r="I34" s="367"/>
    </row>
    <row r="35" spans="1:8" ht="51">
      <c r="A35" s="364" t="s">
        <v>742</v>
      </c>
      <c r="B35" s="365" t="s">
        <v>743</v>
      </c>
      <c r="C35" s="531" t="s">
        <v>744</v>
      </c>
      <c r="D35" s="534" t="s">
        <v>595</v>
      </c>
      <c r="E35" s="542">
        <v>4371500</v>
      </c>
      <c r="F35" s="542">
        <v>0</v>
      </c>
      <c r="G35" s="543">
        <v>0</v>
      </c>
      <c r="H35" s="543">
        <v>0</v>
      </c>
    </row>
    <row r="36" spans="1:8" ht="12.75">
      <c r="A36" s="366" t="s">
        <v>626</v>
      </c>
      <c r="B36" s="365"/>
      <c r="C36" s="531"/>
      <c r="D36" s="534"/>
      <c r="E36" s="542"/>
      <c r="F36" s="542"/>
      <c r="G36" s="543"/>
      <c r="H36" s="543"/>
    </row>
    <row r="37" spans="1:8" ht="12.75">
      <c r="A37" s="364" t="s">
        <v>745</v>
      </c>
      <c r="B37" s="365" t="s">
        <v>746</v>
      </c>
      <c r="C37" s="531" t="s">
        <v>738</v>
      </c>
      <c r="D37" s="534" t="s">
        <v>595</v>
      </c>
      <c r="E37" s="542">
        <v>2185750</v>
      </c>
      <c r="F37" s="542">
        <v>0</v>
      </c>
      <c r="G37" s="543">
        <v>0</v>
      </c>
      <c r="H37" s="543">
        <v>0</v>
      </c>
    </row>
    <row r="38" spans="1:8" ht="51">
      <c r="A38" s="364" t="s">
        <v>747</v>
      </c>
      <c r="B38" s="365" t="s">
        <v>748</v>
      </c>
      <c r="C38" s="531" t="s">
        <v>741</v>
      </c>
      <c r="D38" s="534" t="s">
        <v>595</v>
      </c>
      <c r="E38" s="542">
        <v>1200000</v>
      </c>
      <c r="F38" s="542">
        <v>0</v>
      </c>
      <c r="G38" s="543">
        <v>0</v>
      </c>
      <c r="H38" s="543">
        <v>0</v>
      </c>
    </row>
    <row r="39" spans="1:8" ht="51">
      <c r="A39" s="364" t="s">
        <v>749</v>
      </c>
      <c r="B39" s="365" t="s">
        <v>750</v>
      </c>
      <c r="C39" s="531" t="s">
        <v>744</v>
      </c>
      <c r="D39" s="534" t="s">
        <v>595</v>
      </c>
      <c r="E39" s="542">
        <v>2185750</v>
      </c>
      <c r="F39" s="542">
        <v>0</v>
      </c>
      <c r="G39" s="543">
        <v>0</v>
      </c>
      <c r="H39" s="543">
        <v>0</v>
      </c>
    </row>
    <row r="40" spans="1:8" ht="12.75">
      <c r="A40" s="366" t="s">
        <v>751</v>
      </c>
      <c r="B40" s="365"/>
      <c r="C40" s="531"/>
      <c r="D40" s="534"/>
      <c r="E40" s="542"/>
      <c r="F40" s="542"/>
      <c r="G40" s="543"/>
      <c r="H40" s="543"/>
    </row>
    <row r="41" spans="1:8" ht="25.5">
      <c r="A41" s="364" t="s">
        <v>752</v>
      </c>
      <c r="B41" s="365" t="s">
        <v>753</v>
      </c>
      <c r="C41" s="531" t="s">
        <v>625</v>
      </c>
      <c r="D41" s="534" t="s">
        <v>595</v>
      </c>
      <c r="E41" s="542">
        <v>97400</v>
      </c>
      <c r="F41" s="542">
        <v>231</v>
      </c>
      <c r="G41" s="543">
        <v>22499400</v>
      </c>
      <c r="H41" s="543">
        <f>+G41*0.52</f>
        <v>11699688</v>
      </c>
    </row>
    <row r="42" spans="1:8" ht="25.5">
      <c r="A42" s="364" t="s">
        <v>754</v>
      </c>
      <c r="B42" s="365" t="s">
        <v>755</v>
      </c>
      <c r="C42" s="531" t="s">
        <v>626</v>
      </c>
      <c r="D42" s="534" t="s">
        <v>595</v>
      </c>
      <c r="E42" s="542">
        <v>48700</v>
      </c>
      <c r="F42" s="542">
        <v>0</v>
      </c>
      <c r="G42" s="543">
        <v>0</v>
      </c>
      <c r="H42" s="543">
        <v>0</v>
      </c>
    </row>
    <row r="43" spans="1:8" ht="12.75">
      <c r="A43" s="366" t="s">
        <v>756</v>
      </c>
      <c r="B43" s="365"/>
      <c r="C43" s="531"/>
      <c r="D43" s="534"/>
      <c r="E43" s="542"/>
      <c r="F43" s="542"/>
      <c r="G43" s="543"/>
      <c r="H43" s="543"/>
    </row>
    <row r="44" spans="1:8" ht="38.25">
      <c r="A44" s="364" t="s">
        <v>757</v>
      </c>
      <c r="B44" s="365" t="s">
        <v>758</v>
      </c>
      <c r="C44" s="531" t="s">
        <v>759</v>
      </c>
      <c r="D44" s="534" t="s">
        <v>595</v>
      </c>
      <c r="E44" s="542">
        <v>189000</v>
      </c>
      <c r="F44" s="542">
        <v>0</v>
      </c>
      <c r="G44" s="543">
        <v>0</v>
      </c>
      <c r="H44" s="543">
        <v>0</v>
      </c>
    </row>
    <row r="45" spans="1:8" ht="12.75">
      <c r="A45" s="366" t="s">
        <v>760</v>
      </c>
      <c r="B45" s="365"/>
      <c r="C45" s="531"/>
      <c r="D45" s="534"/>
      <c r="E45" s="542"/>
      <c r="F45" s="542"/>
      <c r="G45" s="543"/>
      <c r="H45" s="543"/>
    </row>
    <row r="46" spans="1:8" ht="12.75">
      <c r="A46" s="366" t="s">
        <v>625</v>
      </c>
      <c r="B46" s="365"/>
      <c r="C46" s="531"/>
      <c r="D46" s="534"/>
      <c r="E46" s="542"/>
      <c r="F46" s="542"/>
      <c r="G46" s="543"/>
      <c r="H46" s="543"/>
    </row>
    <row r="47" spans="1:8" ht="63.75">
      <c r="A47" s="364" t="s">
        <v>761</v>
      </c>
      <c r="B47" s="365" t="s">
        <v>762</v>
      </c>
      <c r="C47" s="531" t="s">
        <v>763</v>
      </c>
      <c r="D47" s="534" t="s">
        <v>595</v>
      </c>
      <c r="E47" s="542">
        <v>396700</v>
      </c>
      <c r="F47" s="542">
        <v>3</v>
      </c>
      <c r="G47" s="543">
        <v>1190100</v>
      </c>
      <c r="H47" s="543">
        <f>+G47*0.52</f>
        <v>618852</v>
      </c>
    </row>
    <row r="48" spans="1:8" ht="63.75">
      <c r="A48" s="364" t="s">
        <v>764</v>
      </c>
      <c r="B48" s="365" t="s">
        <v>765</v>
      </c>
      <c r="C48" s="531" t="s">
        <v>766</v>
      </c>
      <c r="D48" s="534" t="s">
        <v>595</v>
      </c>
      <c r="E48" s="542">
        <v>363642</v>
      </c>
      <c r="F48" s="542">
        <v>0</v>
      </c>
      <c r="G48" s="543">
        <v>0</v>
      </c>
      <c r="H48" s="543">
        <v>0</v>
      </c>
    </row>
    <row r="49" spans="1:8" ht="63.75">
      <c r="A49" s="364" t="s">
        <v>767</v>
      </c>
      <c r="B49" s="365" t="s">
        <v>768</v>
      </c>
      <c r="C49" s="531" t="s">
        <v>769</v>
      </c>
      <c r="D49" s="534" t="s">
        <v>595</v>
      </c>
      <c r="E49" s="542">
        <v>1447300</v>
      </c>
      <c r="F49" s="542">
        <v>0</v>
      </c>
      <c r="G49" s="543">
        <v>0</v>
      </c>
      <c r="H49" s="543">
        <v>0</v>
      </c>
    </row>
    <row r="50" spans="1:8" ht="63.75">
      <c r="A50" s="364" t="s">
        <v>770</v>
      </c>
      <c r="B50" s="365" t="s">
        <v>771</v>
      </c>
      <c r="C50" s="531" t="s">
        <v>772</v>
      </c>
      <c r="D50" s="534" t="s">
        <v>595</v>
      </c>
      <c r="E50" s="542">
        <v>1326692</v>
      </c>
      <c r="F50" s="542">
        <v>0</v>
      </c>
      <c r="G50" s="543">
        <v>0</v>
      </c>
      <c r="H50" s="543">
        <v>0</v>
      </c>
    </row>
    <row r="51" spans="1:8" ht="63.75">
      <c r="A51" s="364" t="s">
        <v>773</v>
      </c>
      <c r="B51" s="365" t="s">
        <v>774</v>
      </c>
      <c r="C51" s="531" t="s">
        <v>775</v>
      </c>
      <c r="D51" s="534" t="s">
        <v>595</v>
      </c>
      <c r="E51" s="542">
        <v>434300</v>
      </c>
      <c r="F51" s="542">
        <v>0</v>
      </c>
      <c r="G51" s="543">
        <v>0</v>
      </c>
      <c r="H51" s="543">
        <v>0</v>
      </c>
    </row>
    <row r="52" spans="1:8" ht="63.75">
      <c r="A52" s="364" t="s">
        <v>776</v>
      </c>
      <c r="B52" s="365" t="s">
        <v>777</v>
      </c>
      <c r="C52" s="531" t="s">
        <v>778</v>
      </c>
      <c r="D52" s="534" t="s">
        <v>595</v>
      </c>
      <c r="E52" s="542">
        <v>398108</v>
      </c>
      <c r="F52" s="542">
        <v>0</v>
      </c>
      <c r="G52" s="543">
        <v>0</v>
      </c>
      <c r="H52" s="543">
        <v>0</v>
      </c>
    </row>
    <row r="53" spans="1:8" ht="63.75">
      <c r="A53" s="364" t="s">
        <v>779</v>
      </c>
      <c r="B53" s="365" t="s">
        <v>780</v>
      </c>
      <c r="C53" s="531" t="s">
        <v>781</v>
      </c>
      <c r="D53" s="534" t="s">
        <v>595</v>
      </c>
      <c r="E53" s="542">
        <v>1593700</v>
      </c>
      <c r="F53" s="542">
        <v>0</v>
      </c>
      <c r="G53" s="543">
        <v>0</v>
      </c>
      <c r="H53" s="543">
        <v>0</v>
      </c>
    </row>
    <row r="54" spans="1:8" ht="63.75">
      <c r="A54" s="364" t="s">
        <v>782</v>
      </c>
      <c r="B54" s="365" t="s">
        <v>783</v>
      </c>
      <c r="C54" s="531" t="s">
        <v>784</v>
      </c>
      <c r="D54" s="534" t="s">
        <v>595</v>
      </c>
      <c r="E54" s="542">
        <v>1460892</v>
      </c>
      <c r="F54" s="542">
        <v>0</v>
      </c>
      <c r="G54" s="543">
        <v>0</v>
      </c>
      <c r="H54" s="543">
        <v>0</v>
      </c>
    </row>
    <row r="55" spans="1:8" ht="12.75">
      <c r="A55" s="366" t="s">
        <v>626</v>
      </c>
      <c r="B55" s="365"/>
      <c r="C55" s="531"/>
      <c r="D55" s="534"/>
      <c r="E55" s="542"/>
      <c r="F55" s="542"/>
      <c r="G55" s="543"/>
      <c r="H55" s="543"/>
    </row>
    <row r="56" spans="1:8" ht="63.75">
      <c r="A56" s="364" t="s">
        <v>785</v>
      </c>
      <c r="B56" s="365" t="s">
        <v>786</v>
      </c>
      <c r="C56" s="531" t="s">
        <v>763</v>
      </c>
      <c r="D56" s="534" t="s">
        <v>595</v>
      </c>
      <c r="E56" s="542">
        <v>198350</v>
      </c>
      <c r="F56" s="542">
        <v>0</v>
      </c>
      <c r="G56" s="543">
        <v>0</v>
      </c>
      <c r="H56" s="543">
        <v>0</v>
      </c>
    </row>
    <row r="57" spans="1:8" ht="63.75">
      <c r="A57" s="364" t="s">
        <v>787</v>
      </c>
      <c r="B57" s="365" t="s">
        <v>788</v>
      </c>
      <c r="C57" s="531" t="s">
        <v>766</v>
      </c>
      <c r="D57" s="534" t="s">
        <v>595</v>
      </c>
      <c r="E57" s="542">
        <v>181821</v>
      </c>
      <c r="F57" s="542">
        <v>0</v>
      </c>
      <c r="G57" s="543">
        <v>0</v>
      </c>
      <c r="H57" s="543">
        <v>0</v>
      </c>
    </row>
    <row r="58" spans="1:8" ht="63.75">
      <c r="A58" s="364" t="s">
        <v>789</v>
      </c>
      <c r="B58" s="365" t="s">
        <v>790</v>
      </c>
      <c r="C58" s="531" t="s">
        <v>769</v>
      </c>
      <c r="D58" s="534" t="s">
        <v>595</v>
      </c>
      <c r="E58" s="542">
        <v>723650</v>
      </c>
      <c r="F58" s="542">
        <v>0</v>
      </c>
      <c r="G58" s="543">
        <v>0</v>
      </c>
      <c r="H58" s="543">
        <v>0</v>
      </c>
    </row>
    <row r="59" spans="1:8" ht="63.75">
      <c r="A59" s="364" t="s">
        <v>791</v>
      </c>
      <c r="B59" s="365" t="s">
        <v>792</v>
      </c>
      <c r="C59" s="531" t="s">
        <v>772</v>
      </c>
      <c r="D59" s="534" t="s">
        <v>595</v>
      </c>
      <c r="E59" s="542">
        <v>663346</v>
      </c>
      <c r="F59" s="542">
        <v>0</v>
      </c>
      <c r="G59" s="543">
        <v>0</v>
      </c>
      <c r="H59" s="543">
        <v>0</v>
      </c>
    </row>
    <row r="60" spans="1:8" ht="63.75">
      <c r="A60" s="364" t="s">
        <v>793</v>
      </c>
      <c r="B60" s="365" t="s">
        <v>794</v>
      </c>
      <c r="C60" s="531" t="s">
        <v>775</v>
      </c>
      <c r="D60" s="534" t="s">
        <v>595</v>
      </c>
      <c r="E60" s="542">
        <v>217150</v>
      </c>
      <c r="F60" s="542">
        <v>0</v>
      </c>
      <c r="G60" s="543">
        <v>0</v>
      </c>
      <c r="H60" s="543">
        <v>0</v>
      </c>
    </row>
    <row r="61" spans="1:8" ht="63.75">
      <c r="A61" s="364" t="s">
        <v>795</v>
      </c>
      <c r="B61" s="365" t="s">
        <v>796</v>
      </c>
      <c r="C61" s="531" t="s">
        <v>778</v>
      </c>
      <c r="D61" s="534" t="s">
        <v>595</v>
      </c>
      <c r="E61" s="542">
        <v>199054</v>
      </c>
      <c r="F61" s="542">
        <v>0</v>
      </c>
      <c r="G61" s="543">
        <v>0</v>
      </c>
      <c r="H61" s="543">
        <v>0</v>
      </c>
    </row>
    <row r="62" spans="1:8" ht="63.75">
      <c r="A62" s="364" t="s">
        <v>797</v>
      </c>
      <c r="B62" s="365" t="s">
        <v>798</v>
      </c>
      <c r="C62" s="531" t="s">
        <v>781</v>
      </c>
      <c r="D62" s="534" t="s">
        <v>595</v>
      </c>
      <c r="E62" s="542">
        <v>796850</v>
      </c>
      <c r="F62" s="542">
        <v>0</v>
      </c>
      <c r="G62" s="543">
        <v>0</v>
      </c>
      <c r="H62" s="543">
        <v>0</v>
      </c>
    </row>
    <row r="63" spans="1:8" ht="63.75">
      <c r="A63" s="364" t="s">
        <v>799</v>
      </c>
      <c r="B63" s="365" t="s">
        <v>800</v>
      </c>
      <c r="C63" s="531" t="s">
        <v>784</v>
      </c>
      <c r="D63" s="534" t="s">
        <v>595</v>
      </c>
      <c r="E63" s="542">
        <v>730446</v>
      </c>
      <c r="F63" s="542">
        <v>0</v>
      </c>
      <c r="G63" s="543">
        <v>0</v>
      </c>
      <c r="H63" s="543">
        <v>0</v>
      </c>
    </row>
    <row r="64" spans="1:8" ht="12.75">
      <c r="A64" s="364" t="s">
        <v>627</v>
      </c>
      <c r="B64" s="365"/>
      <c r="C64" s="531"/>
      <c r="D64" s="534"/>
      <c r="E64" s="542"/>
      <c r="F64" s="542"/>
      <c r="G64" s="543"/>
      <c r="H64" s="543"/>
    </row>
    <row r="65" spans="1:8" ht="25.5">
      <c r="A65" s="364" t="s">
        <v>801</v>
      </c>
      <c r="B65" s="365" t="s">
        <v>802</v>
      </c>
      <c r="C65" s="531" t="s">
        <v>625</v>
      </c>
      <c r="D65" s="534" t="s">
        <v>595</v>
      </c>
      <c r="E65" s="542">
        <v>811600</v>
      </c>
      <c r="F65" s="542">
        <v>0</v>
      </c>
      <c r="G65" s="543">
        <v>0</v>
      </c>
      <c r="H65" s="543">
        <v>0</v>
      </c>
    </row>
    <row r="66" spans="1:8" ht="25.5">
      <c r="A66" s="364" t="s">
        <v>803</v>
      </c>
      <c r="B66" s="365" t="s">
        <v>804</v>
      </c>
      <c r="C66" s="531" t="s">
        <v>626</v>
      </c>
      <c r="D66" s="534" t="s">
        <v>595</v>
      </c>
      <c r="E66" s="542">
        <v>405800</v>
      </c>
      <c r="F66" s="542">
        <v>0</v>
      </c>
      <c r="G66" s="543">
        <v>0</v>
      </c>
      <c r="H66" s="543">
        <v>0</v>
      </c>
    </row>
    <row r="67" spans="1:8" ht="25.5">
      <c r="A67" s="649" t="s">
        <v>805</v>
      </c>
      <c r="B67" s="650" t="s">
        <v>806</v>
      </c>
      <c r="C67" s="651" t="s">
        <v>807</v>
      </c>
      <c r="D67" s="544" t="s">
        <v>652</v>
      </c>
      <c r="E67" s="545">
        <v>0</v>
      </c>
      <c r="F67" s="545">
        <v>0</v>
      </c>
      <c r="G67" s="657">
        <f>SUM(G33:G66)</f>
        <v>144505250</v>
      </c>
      <c r="H67" s="657">
        <f>SUM(H33:H66)</f>
        <v>75142730</v>
      </c>
    </row>
    <row r="68" spans="1:8" ht="25.5">
      <c r="A68" s="364" t="s">
        <v>808</v>
      </c>
      <c r="B68" s="365" t="s">
        <v>809</v>
      </c>
      <c r="C68" s="531" t="s">
        <v>810</v>
      </c>
      <c r="D68" s="534" t="s">
        <v>652</v>
      </c>
      <c r="E68" s="542">
        <v>0</v>
      </c>
      <c r="F68" s="542" t="s">
        <v>639</v>
      </c>
      <c r="G68" s="543">
        <v>0</v>
      </c>
      <c r="H68" s="543">
        <v>0</v>
      </c>
    </row>
    <row r="69" spans="1:8" ht="12.75">
      <c r="A69" s="366" t="s">
        <v>628</v>
      </c>
      <c r="B69" s="365"/>
      <c r="C69" s="531"/>
      <c r="D69" s="534"/>
      <c r="E69" s="542"/>
      <c r="F69" s="542"/>
      <c r="G69" s="543"/>
      <c r="H69" s="543"/>
    </row>
    <row r="70" spans="1:8" ht="25.5">
      <c r="A70" s="364" t="s">
        <v>811</v>
      </c>
      <c r="B70" s="365" t="s">
        <v>812</v>
      </c>
      <c r="C70" s="531" t="s">
        <v>813</v>
      </c>
      <c r="D70" s="534" t="s">
        <v>814</v>
      </c>
      <c r="E70" s="542">
        <v>3780000</v>
      </c>
      <c r="F70" s="542">
        <v>3400000</v>
      </c>
      <c r="G70" s="543">
        <v>3400000</v>
      </c>
      <c r="H70" s="543">
        <f>+G70*0.52</f>
        <v>1768000</v>
      </c>
    </row>
    <row r="71" spans="1:8" ht="25.5">
      <c r="A71" s="364" t="s">
        <v>815</v>
      </c>
      <c r="B71" s="365" t="s">
        <v>816</v>
      </c>
      <c r="C71" s="531" t="s">
        <v>817</v>
      </c>
      <c r="D71" s="534" t="s">
        <v>814</v>
      </c>
      <c r="E71" s="542">
        <v>3300000</v>
      </c>
      <c r="F71" s="542">
        <v>0</v>
      </c>
      <c r="G71" s="543">
        <v>0</v>
      </c>
      <c r="H71" s="543">
        <v>0</v>
      </c>
    </row>
    <row r="72" spans="1:8" ht="12.75">
      <c r="A72" s="364" t="s">
        <v>818</v>
      </c>
      <c r="B72" s="365" t="s">
        <v>819</v>
      </c>
      <c r="C72" s="531" t="s">
        <v>820</v>
      </c>
      <c r="D72" s="534" t="s">
        <v>595</v>
      </c>
      <c r="E72" s="542">
        <v>65360</v>
      </c>
      <c r="F72" s="542">
        <v>19</v>
      </c>
      <c r="G72" s="543">
        <v>1241840</v>
      </c>
      <c r="H72" s="543">
        <f>+G72*0.52</f>
        <v>645756.8</v>
      </c>
    </row>
    <row r="73" spans="1:8" ht="25.5">
      <c r="A73" s="364" t="s">
        <v>821</v>
      </c>
      <c r="B73" s="365" t="s">
        <v>822</v>
      </c>
      <c r="C73" s="531" t="s">
        <v>823</v>
      </c>
      <c r="D73" s="534" t="s">
        <v>595</v>
      </c>
      <c r="E73" s="542">
        <v>71896</v>
      </c>
      <c r="F73" s="542">
        <v>0</v>
      </c>
      <c r="G73" s="543">
        <v>0</v>
      </c>
      <c r="H73" s="543">
        <v>0</v>
      </c>
    </row>
    <row r="74" spans="1:8" ht="12.75">
      <c r="A74" s="364" t="s">
        <v>824</v>
      </c>
      <c r="B74" s="365" t="s">
        <v>825</v>
      </c>
      <c r="C74" s="531" t="s">
        <v>826</v>
      </c>
      <c r="D74" s="534" t="s">
        <v>595</v>
      </c>
      <c r="E74" s="542">
        <v>25000</v>
      </c>
      <c r="F74" s="542">
        <v>10</v>
      </c>
      <c r="G74" s="543">
        <v>250000</v>
      </c>
      <c r="H74" s="543">
        <f>+G74*0.52</f>
        <v>130000</v>
      </c>
    </row>
    <row r="75" spans="1:8" ht="25.5">
      <c r="A75" s="364" t="s">
        <v>827</v>
      </c>
      <c r="B75" s="365" t="s">
        <v>828</v>
      </c>
      <c r="C75" s="531" t="s">
        <v>829</v>
      </c>
      <c r="D75" s="534" t="s">
        <v>595</v>
      </c>
      <c r="E75" s="542">
        <v>330000</v>
      </c>
      <c r="F75" s="542">
        <v>4</v>
      </c>
      <c r="G75" s="543">
        <v>1320000</v>
      </c>
      <c r="H75" s="543">
        <f>+G75*0.52</f>
        <v>686400</v>
      </c>
    </row>
    <row r="76" spans="1:8" ht="38.25">
      <c r="A76" s="364" t="s">
        <v>830</v>
      </c>
      <c r="B76" s="365" t="s">
        <v>831</v>
      </c>
      <c r="C76" s="531" t="s">
        <v>832</v>
      </c>
      <c r="D76" s="534" t="s">
        <v>595</v>
      </c>
      <c r="E76" s="542">
        <v>429000</v>
      </c>
      <c r="F76" s="542">
        <v>0</v>
      </c>
      <c r="G76" s="543">
        <v>0</v>
      </c>
      <c r="H76" s="543">
        <v>0</v>
      </c>
    </row>
    <row r="77" spans="1:8" ht="25.5">
      <c r="A77" s="364" t="s">
        <v>833</v>
      </c>
      <c r="B77" s="365" t="s">
        <v>834</v>
      </c>
      <c r="C77" s="531" t="s">
        <v>835</v>
      </c>
      <c r="D77" s="534" t="s">
        <v>836</v>
      </c>
      <c r="E77" s="542">
        <v>4250000</v>
      </c>
      <c r="F77" s="542">
        <v>0</v>
      </c>
      <c r="G77" s="543">
        <v>0</v>
      </c>
      <c r="H77" s="543">
        <v>0</v>
      </c>
    </row>
    <row r="78" spans="1:8" ht="12.75">
      <c r="A78" s="366" t="s">
        <v>837</v>
      </c>
      <c r="B78" s="365"/>
      <c r="C78" s="531"/>
      <c r="D78" s="534"/>
      <c r="E78" s="542"/>
      <c r="F78" s="542"/>
      <c r="G78" s="543"/>
      <c r="H78" s="543"/>
    </row>
    <row r="79" spans="1:8" ht="12.75">
      <c r="A79" s="364" t="s">
        <v>838</v>
      </c>
      <c r="B79" s="365" t="s">
        <v>839</v>
      </c>
      <c r="C79" s="531" t="s">
        <v>840</v>
      </c>
      <c r="D79" s="534" t="s">
        <v>595</v>
      </c>
      <c r="E79" s="542">
        <v>190000</v>
      </c>
      <c r="F79" s="542">
        <v>12</v>
      </c>
      <c r="G79" s="543">
        <v>2280000</v>
      </c>
      <c r="H79" s="543">
        <f>+G79*0.52</f>
        <v>1185600</v>
      </c>
    </row>
    <row r="80" spans="1:8" ht="25.5">
      <c r="A80" s="364" t="s">
        <v>841</v>
      </c>
      <c r="B80" s="365" t="s">
        <v>842</v>
      </c>
      <c r="C80" s="531" t="s">
        <v>843</v>
      </c>
      <c r="D80" s="534" t="s">
        <v>595</v>
      </c>
      <c r="E80" s="542">
        <v>285000</v>
      </c>
      <c r="F80" s="542">
        <v>0</v>
      </c>
      <c r="G80" s="543">
        <v>0</v>
      </c>
      <c r="H80" s="543">
        <v>0</v>
      </c>
    </row>
    <row r="81" spans="1:8" ht="38.25">
      <c r="A81" s="364" t="s">
        <v>844</v>
      </c>
      <c r="B81" s="365" t="s">
        <v>845</v>
      </c>
      <c r="C81" s="531" t="s">
        <v>846</v>
      </c>
      <c r="D81" s="534" t="s">
        <v>595</v>
      </c>
      <c r="E81" s="542">
        <v>114000</v>
      </c>
      <c r="F81" s="542">
        <v>0</v>
      </c>
      <c r="G81" s="543">
        <v>0</v>
      </c>
      <c r="H81" s="543">
        <v>0</v>
      </c>
    </row>
    <row r="82" spans="1:8" ht="51">
      <c r="A82" s="364" t="s">
        <v>847</v>
      </c>
      <c r="B82" s="365" t="s">
        <v>848</v>
      </c>
      <c r="C82" s="531" t="s">
        <v>849</v>
      </c>
      <c r="D82" s="534" t="s">
        <v>595</v>
      </c>
      <c r="E82" s="542">
        <v>171000</v>
      </c>
      <c r="F82" s="542">
        <v>0</v>
      </c>
      <c r="G82" s="543">
        <v>0</v>
      </c>
      <c r="H82" s="543">
        <v>0</v>
      </c>
    </row>
    <row r="83" spans="1:8" ht="12.75">
      <c r="A83" s="366" t="s">
        <v>629</v>
      </c>
      <c r="B83" s="365"/>
      <c r="C83" s="531"/>
      <c r="D83" s="534"/>
      <c r="E83" s="542"/>
      <c r="F83" s="542"/>
      <c r="G83" s="543"/>
      <c r="H83" s="543"/>
    </row>
    <row r="84" spans="1:8" ht="25.5">
      <c r="A84" s="364" t="s">
        <v>850</v>
      </c>
      <c r="B84" s="365" t="s">
        <v>851</v>
      </c>
      <c r="C84" s="531" t="s">
        <v>852</v>
      </c>
      <c r="D84" s="534" t="s">
        <v>595</v>
      </c>
      <c r="E84" s="542">
        <v>689000</v>
      </c>
      <c r="F84" s="542">
        <v>0</v>
      </c>
      <c r="G84" s="543">
        <v>0</v>
      </c>
      <c r="H84" s="543">
        <v>0</v>
      </c>
    </row>
    <row r="85" spans="1:8" ht="38.25">
      <c r="A85" s="364" t="s">
        <v>853</v>
      </c>
      <c r="B85" s="365" t="s">
        <v>854</v>
      </c>
      <c r="C85" s="531" t="s">
        <v>855</v>
      </c>
      <c r="D85" s="534" t="s">
        <v>595</v>
      </c>
      <c r="E85" s="542">
        <v>757900</v>
      </c>
      <c r="F85" s="542">
        <v>0</v>
      </c>
      <c r="G85" s="543">
        <v>0</v>
      </c>
      <c r="H85" s="543">
        <v>0</v>
      </c>
    </row>
    <row r="86" spans="1:8" ht="38.25">
      <c r="A86" s="364" t="s">
        <v>856</v>
      </c>
      <c r="B86" s="365" t="s">
        <v>857</v>
      </c>
      <c r="C86" s="531" t="s">
        <v>858</v>
      </c>
      <c r="D86" s="534" t="s">
        <v>595</v>
      </c>
      <c r="E86" s="542">
        <v>413400</v>
      </c>
      <c r="F86" s="542">
        <v>0</v>
      </c>
      <c r="G86" s="543">
        <v>0</v>
      </c>
      <c r="H86" s="543">
        <v>0</v>
      </c>
    </row>
    <row r="87" spans="1:8" ht="51">
      <c r="A87" s="364" t="s">
        <v>859</v>
      </c>
      <c r="B87" s="365" t="s">
        <v>860</v>
      </c>
      <c r="C87" s="531" t="s">
        <v>861</v>
      </c>
      <c r="D87" s="534" t="s">
        <v>595</v>
      </c>
      <c r="E87" s="542">
        <v>454740</v>
      </c>
      <c r="F87" s="542">
        <v>0</v>
      </c>
      <c r="G87" s="543">
        <v>0</v>
      </c>
      <c r="H87" s="543">
        <v>0</v>
      </c>
    </row>
    <row r="88" spans="1:8" ht="25.5">
      <c r="A88" s="364" t="s">
        <v>862</v>
      </c>
      <c r="B88" s="365" t="s">
        <v>863</v>
      </c>
      <c r="C88" s="531" t="s">
        <v>864</v>
      </c>
      <c r="D88" s="534" t="s">
        <v>595</v>
      </c>
      <c r="E88" s="542">
        <v>689000</v>
      </c>
      <c r="F88" s="542">
        <v>0</v>
      </c>
      <c r="G88" s="543">
        <v>0</v>
      </c>
      <c r="H88" s="543">
        <v>0</v>
      </c>
    </row>
    <row r="89" spans="1:8" ht="38.25">
      <c r="A89" s="364" t="s">
        <v>865</v>
      </c>
      <c r="B89" s="365" t="s">
        <v>866</v>
      </c>
      <c r="C89" s="531" t="s">
        <v>867</v>
      </c>
      <c r="D89" s="534" t="s">
        <v>595</v>
      </c>
      <c r="E89" s="542">
        <v>757900</v>
      </c>
      <c r="F89" s="542">
        <v>0</v>
      </c>
      <c r="G89" s="543">
        <v>0</v>
      </c>
      <c r="H89" s="543">
        <v>0</v>
      </c>
    </row>
    <row r="90" spans="1:8" ht="38.25">
      <c r="A90" s="364" t="s">
        <v>868</v>
      </c>
      <c r="B90" s="365" t="s">
        <v>869</v>
      </c>
      <c r="C90" s="531" t="s">
        <v>870</v>
      </c>
      <c r="D90" s="534" t="s">
        <v>595</v>
      </c>
      <c r="E90" s="542">
        <v>413400</v>
      </c>
      <c r="F90" s="542">
        <v>0</v>
      </c>
      <c r="G90" s="543">
        <v>0</v>
      </c>
      <c r="H90" s="543">
        <v>0</v>
      </c>
    </row>
    <row r="91" spans="1:8" ht="51">
      <c r="A91" s="364" t="s">
        <v>871</v>
      </c>
      <c r="B91" s="365" t="s">
        <v>872</v>
      </c>
      <c r="C91" s="531" t="s">
        <v>873</v>
      </c>
      <c r="D91" s="534" t="s">
        <v>595</v>
      </c>
      <c r="E91" s="542">
        <v>454740</v>
      </c>
      <c r="F91" s="542">
        <v>0</v>
      </c>
      <c r="G91" s="543">
        <v>0</v>
      </c>
      <c r="H91" s="543">
        <v>0</v>
      </c>
    </row>
    <row r="92" spans="1:8" ht="12.75">
      <c r="A92" s="366" t="s">
        <v>630</v>
      </c>
      <c r="B92" s="365"/>
      <c r="C92" s="531"/>
      <c r="D92" s="534"/>
      <c r="E92" s="542"/>
      <c r="F92" s="542"/>
      <c r="G92" s="543"/>
      <c r="H92" s="543"/>
    </row>
    <row r="93" spans="1:8" ht="25.5">
      <c r="A93" s="364" t="s">
        <v>874</v>
      </c>
      <c r="B93" s="365" t="s">
        <v>875</v>
      </c>
      <c r="C93" s="531" t="s">
        <v>876</v>
      </c>
      <c r="D93" s="534" t="s">
        <v>595</v>
      </c>
      <c r="E93" s="542">
        <v>359000</v>
      </c>
      <c r="F93" s="542">
        <v>0</v>
      </c>
      <c r="G93" s="543">
        <v>0</v>
      </c>
      <c r="H93" s="543">
        <v>0</v>
      </c>
    </row>
    <row r="94" spans="1:8" ht="38.25">
      <c r="A94" s="364" t="s">
        <v>877</v>
      </c>
      <c r="B94" s="365" t="s">
        <v>878</v>
      </c>
      <c r="C94" s="531" t="s">
        <v>879</v>
      </c>
      <c r="D94" s="534" t="s">
        <v>595</v>
      </c>
      <c r="E94" s="542">
        <v>430800</v>
      </c>
      <c r="F94" s="542">
        <v>0</v>
      </c>
      <c r="G94" s="543">
        <v>0</v>
      </c>
      <c r="H94" s="543">
        <v>0</v>
      </c>
    </row>
    <row r="95" spans="1:8" ht="38.25">
      <c r="A95" s="364" t="s">
        <v>880</v>
      </c>
      <c r="B95" s="365" t="s">
        <v>881</v>
      </c>
      <c r="C95" s="531" t="s">
        <v>882</v>
      </c>
      <c r="D95" s="534" t="s">
        <v>595</v>
      </c>
      <c r="E95" s="542">
        <v>215400</v>
      </c>
      <c r="F95" s="542">
        <v>0</v>
      </c>
      <c r="G95" s="543">
        <v>0</v>
      </c>
      <c r="H95" s="543">
        <v>0</v>
      </c>
    </row>
    <row r="96" spans="1:8" ht="51">
      <c r="A96" s="364" t="s">
        <v>883</v>
      </c>
      <c r="B96" s="365" t="s">
        <v>884</v>
      </c>
      <c r="C96" s="531" t="s">
        <v>885</v>
      </c>
      <c r="D96" s="534" t="s">
        <v>595</v>
      </c>
      <c r="E96" s="542">
        <v>258480</v>
      </c>
      <c r="F96" s="542">
        <v>0</v>
      </c>
      <c r="G96" s="543">
        <v>0</v>
      </c>
      <c r="H96" s="543">
        <v>0</v>
      </c>
    </row>
    <row r="97" spans="1:8" ht="25.5">
      <c r="A97" s="364" t="s">
        <v>886</v>
      </c>
      <c r="B97" s="365" t="s">
        <v>887</v>
      </c>
      <c r="C97" s="531" t="s">
        <v>888</v>
      </c>
      <c r="D97" s="534" t="s">
        <v>595</v>
      </c>
      <c r="E97" s="542">
        <v>359000</v>
      </c>
      <c r="F97" s="542">
        <v>0</v>
      </c>
      <c r="G97" s="543">
        <v>0</v>
      </c>
      <c r="H97" s="543">
        <v>0</v>
      </c>
    </row>
    <row r="98" spans="1:8" ht="38.25">
      <c r="A98" s="364" t="s">
        <v>889</v>
      </c>
      <c r="B98" s="365" t="s">
        <v>890</v>
      </c>
      <c r="C98" s="531" t="s">
        <v>891</v>
      </c>
      <c r="D98" s="534" t="s">
        <v>595</v>
      </c>
      <c r="E98" s="542">
        <v>430800</v>
      </c>
      <c r="F98" s="542">
        <v>0</v>
      </c>
      <c r="G98" s="543">
        <v>0</v>
      </c>
      <c r="H98" s="543">
        <v>0</v>
      </c>
    </row>
    <row r="99" spans="1:8" ht="38.25">
      <c r="A99" s="364" t="s">
        <v>892</v>
      </c>
      <c r="B99" s="365" t="s">
        <v>893</v>
      </c>
      <c r="C99" s="531" t="s">
        <v>894</v>
      </c>
      <c r="D99" s="534" t="s">
        <v>595</v>
      </c>
      <c r="E99" s="542">
        <v>215400</v>
      </c>
      <c r="F99" s="542">
        <v>0</v>
      </c>
      <c r="G99" s="543">
        <v>0</v>
      </c>
      <c r="H99" s="543">
        <v>0</v>
      </c>
    </row>
    <row r="100" spans="1:8" ht="51">
      <c r="A100" s="364" t="s">
        <v>895</v>
      </c>
      <c r="B100" s="365" t="s">
        <v>896</v>
      </c>
      <c r="C100" s="531" t="s">
        <v>897</v>
      </c>
      <c r="D100" s="534" t="s">
        <v>595</v>
      </c>
      <c r="E100" s="542">
        <v>258480</v>
      </c>
      <c r="F100" s="542">
        <v>0</v>
      </c>
      <c r="G100" s="543">
        <v>0</v>
      </c>
      <c r="H100" s="543">
        <v>0</v>
      </c>
    </row>
    <row r="101" spans="1:8" ht="12.75">
      <c r="A101" s="366" t="s">
        <v>631</v>
      </c>
      <c r="B101" s="365"/>
      <c r="C101" s="531"/>
      <c r="D101" s="534"/>
      <c r="E101" s="542"/>
      <c r="F101" s="542"/>
      <c r="G101" s="543"/>
      <c r="H101" s="543"/>
    </row>
    <row r="102" spans="1:8" ht="25.5">
      <c r="A102" s="364" t="s">
        <v>898</v>
      </c>
      <c r="B102" s="365" t="s">
        <v>899</v>
      </c>
      <c r="C102" s="531" t="s">
        <v>900</v>
      </c>
      <c r="D102" s="534" t="s">
        <v>595</v>
      </c>
      <c r="E102" s="542">
        <v>239100</v>
      </c>
      <c r="F102" s="542">
        <v>0</v>
      </c>
      <c r="G102" s="543">
        <v>0</v>
      </c>
      <c r="H102" s="543">
        <v>0</v>
      </c>
    </row>
    <row r="103" spans="1:8" ht="38.25">
      <c r="A103" s="364" t="s">
        <v>901</v>
      </c>
      <c r="B103" s="365" t="s">
        <v>902</v>
      </c>
      <c r="C103" s="531" t="s">
        <v>903</v>
      </c>
      <c r="D103" s="534" t="s">
        <v>595</v>
      </c>
      <c r="E103" s="542">
        <v>286920</v>
      </c>
      <c r="F103" s="542">
        <v>0</v>
      </c>
      <c r="G103" s="543">
        <v>0</v>
      </c>
      <c r="H103" s="543">
        <v>0</v>
      </c>
    </row>
    <row r="104" spans="1:8" ht="12.75">
      <c r="A104" s="363" t="s">
        <v>904</v>
      </c>
      <c r="B104" s="365"/>
      <c r="C104" s="531"/>
      <c r="D104" s="534"/>
      <c r="E104" s="542"/>
      <c r="F104" s="542"/>
      <c r="G104" s="543"/>
      <c r="H104" s="543"/>
    </row>
    <row r="105" spans="1:8" ht="12.75">
      <c r="A105" s="364" t="s">
        <v>905</v>
      </c>
      <c r="B105" s="365" t="s">
        <v>906</v>
      </c>
      <c r="C105" s="531" t="s">
        <v>907</v>
      </c>
      <c r="D105" s="534" t="s">
        <v>595</v>
      </c>
      <c r="E105" s="542">
        <v>700000</v>
      </c>
      <c r="F105" s="542">
        <v>0</v>
      </c>
      <c r="G105" s="543">
        <v>0</v>
      </c>
      <c r="H105" s="543">
        <v>0</v>
      </c>
    </row>
    <row r="106" spans="1:8" ht="25.5">
      <c r="A106" s="364" t="s">
        <v>908</v>
      </c>
      <c r="B106" s="365" t="s">
        <v>909</v>
      </c>
      <c r="C106" s="531" t="s">
        <v>910</v>
      </c>
      <c r="D106" s="534" t="s">
        <v>595</v>
      </c>
      <c r="E106" s="542">
        <v>910000</v>
      </c>
      <c r="F106" s="542">
        <v>0</v>
      </c>
      <c r="G106" s="543">
        <v>0</v>
      </c>
      <c r="H106" s="543">
        <v>0</v>
      </c>
    </row>
    <row r="107" spans="1:8" ht="38.25">
      <c r="A107" s="364" t="s">
        <v>911</v>
      </c>
      <c r="B107" s="365" t="s">
        <v>912</v>
      </c>
      <c r="C107" s="531" t="s">
        <v>913</v>
      </c>
      <c r="D107" s="534" t="s">
        <v>595</v>
      </c>
      <c r="E107" s="542">
        <v>350000</v>
      </c>
      <c r="F107" s="542">
        <v>0</v>
      </c>
      <c r="G107" s="543">
        <v>0</v>
      </c>
      <c r="H107" s="543">
        <v>0</v>
      </c>
    </row>
    <row r="108" spans="1:8" ht="12.75">
      <c r="A108" s="366" t="s">
        <v>632</v>
      </c>
      <c r="B108" s="365"/>
      <c r="C108" s="531"/>
      <c r="D108" s="534"/>
      <c r="E108" s="542"/>
      <c r="F108" s="542"/>
      <c r="G108" s="543"/>
      <c r="H108" s="543"/>
    </row>
    <row r="109" spans="1:8" ht="25.5">
      <c r="A109" s="364" t="s">
        <v>914</v>
      </c>
      <c r="B109" s="365" t="s">
        <v>915</v>
      </c>
      <c r="C109" s="531" t="s">
        <v>916</v>
      </c>
      <c r="D109" s="534" t="s">
        <v>917</v>
      </c>
      <c r="E109" s="542">
        <v>569350</v>
      </c>
      <c r="F109" s="542">
        <v>0</v>
      </c>
      <c r="G109" s="543">
        <v>0</v>
      </c>
      <c r="H109" s="543">
        <v>0</v>
      </c>
    </row>
    <row r="110" spans="1:8" ht="38.25">
      <c r="A110" s="364" t="s">
        <v>918</v>
      </c>
      <c r="B110" s="365" t="s">
        <v>919</v>
      </c>
      <c r="C110" s="531" t="s">
        <v>920</v>
      </c>
      <c r="D110" s="534" t="s">
        <v>917</v>
      </c>
      <c r="E110" s="542">
        <v>626285</v>
      </c>
      <c r="F110" s="542">
        <v>0</v>
      </c>
      <c r="G110" s="543">
        <v>0</v>
      </c>
      <c r="H110" s="543">
        <v>0</v>
      </c>
    </row>
    <row r="111" spans="1:8" ht="12.75">
      <c r="A111" s="364" t="s">
        <v>921</v>
      </c>
      <c r="B111" s="365" t="s">
        <v>922</v>
      </c>
      <c r="C111" s="531" t="s">
        <v>923</v>
      </c>
      <c r="D111" s="534" t="s">
        <v>917</v>
      </c>
      <c r="E111" s="542">
        <v>284675</v>
      </c>
      <c r="F111" s="542">
        <v>0</v>
      </c>
      <c r="G111" s="543">
        <v>0</v>
      </c>
      <c r="H111" s="543">
        <v>0</v>
      </c>
    </row>
    <row r="112" spans="1:8" ht="12.75">
      <c r="A112" s="366" t="s">
        <v>633</v>
      </c>
      <c r="B112" s="365"/>
      <c r="C112" s="531"/>
      <c r="D112" s="534"/>
      <c r="E112" s="542"/>
      <c r="F112" s="542"/>
      <c r="G112" s="543"/>
      <c r="H112" s="543"/>
    </row>
    <row r="113" spans="1:8" ht="12.75">
      <c r="A113" s="364" t="s">
        <v>924</v>
      </c>
      <c r="B113" s="365" t="s">
        <v>925</v>
      </c>
      <c r="C113" s="531" t="s">
        <v>926</v>
      </c>
      <c r="D113" s="534" t="s">
        <v>836</v>
      </c>
      <c r="E113" s="542">
        <v>3000000</v>
      </c>
      <c r="F113" s="542">
        <v>0</v>
      </c>
      <c r="G113" s="543">
        <v>0</v>
      </c>
      <c r="H113" s="543">
        <v>0</v>
      </c>
    </row>
    <row r="114" spans="1:8" ht="25.5">
      <c r="A114" s="364" t="s">
        <v>927</v>
      </c>
      <c r="B114" s="365" t="s">
        <v>928</v>
      </c>
      <c r="C114" s="531" t="s">
        <v>929</v>
      </c>
      <c r="D114" s="534" t="s">
        <v>930</v>
      </c>
      <c r="E114" s="542">
        <v>2500</v>
      </c>
      <c r="F114" s="542">
        <v>0</v>
      </c>
      <c r="G114" s="543">
        <v>0</v>
      </c>
      <c r="H114" s="543">
        <v>0</v>
      </c>
    </row>
    <row r="115" spans="1:8" ht="12.75">
      <c r="A115" s="363" t="s">
        <v>634</v>
      </c>
      <c r="B115" s="365"/>
      <c r="C115" s="531"/>
      <c r="D115" s="534"/>
      <c r="E115" s="542"/>
      <c r="F115" s="542"/>
      <c r="G115" s="543"/>
      <c r="H115" s="543"/>
    </row>
    <row r="116" spans="1:8" ht="25.5">
      <c r="A116" s="364" t="s">
        <v>931</v>
      </c>
      <c r="B116" s="365" t="s">
        <v>932</v>
      </c>
      <c r="C116" s="531" t="s">
        <v>933</v>
      </c>
      <c r="D116" s="534" t="s">
        <v>836</v>
      </c>
      <c r="E116" s="542">
        <v>2000000</v>
      </c>
      <c r="F116" s="542">
        <v>0</v>
      </c>
      <c r="G116" s="543">
        <v>0</v>
      </c>
      <c r="H116" s="543">
        <v>0</v>
      </c>
    </row>
    <row r="117" spans="1:8" ht="38.25">
      <c r="A117" s="364" t="s">
        <v>934</v>
      </c>
      <c r="B117" s="365" t="s">
        <v>935</v>
      </c>
      <c r="C117" s="531" t="s">
        <v>936</v>
      </c>
      <c r="D117" s="534" t="s">
        <v>930</v>
      </c>
      <c r="E117" s="542">
        <v>196000</v>
      </c>
      <c r="F117" s="542">
        <v>0</v>
      </c>
      <c r="G117" s="543">
        <v>0</v>
      </c>
      <c r="H117" s="543">
        <v>0</v>
      </c>
    </row>
    <row r="118" spans="1:8" ht="25.5">
      <c r="A118" s="364" t="s">
        <v>937</v>
      </c>
      <c r="B118" s="365" t="s">
        <v>938</v>
      </c>
      <c r="C118" s="531" t="s">
        <v>939</v>
      </c>
      <c r="D118" s="534" t="s">
        <v>836</v>
      </c>
      <c r="E118" s="542">
        <v>2000000</v>
      </c>
      <c r="F118" s="542">
        <v>0</v>
      </c>
      <c r="G118" s="543">
        <v>0</v>
      </c>
      <c r="H118" s="543">
        <v>0</v>
      </c>
    </row>
    <row r="119" spans="1:8" ht="38.25">
      <c r="A119" s="364" t="s">
        <v>940</v>
      </c>
      <c r="B119" s="365" t="s">
        <v>941</v>
      </c>
      <c r="C119" s="531" t="s">
        <v>942</v>
      </c>
      <c r="D119" s="534" t="s">
        <v>930</v>
      </c>
      <c r="E119" s="542">
        <v>196000</v>
      </c>
      <c r="F119" s="542">
        <v>0</v>
      </c>
      <c r="G119" s="543">
        <v>0</v>
      </c>
      <c r="H119" s="543">
        <v>0</v>
      </c>
    </row>
    <row r="120" spans="1:8" ht="12.75">
      <c r="A120" s="366" t="s">
        <v>943</v>
      </c>
      <c r="B120" s="365"/>
      <c r="C120" s="531"/>
      <c r="D120" s="534"/>
      <c r="E120" s="542"/>
      <c r="F120" s="542"/>
      <c r="G120" s="543"/>
      <c r="H120" s="543"/>
    </row>
    <row r="121" spans="1:8" ht="25.5">
      <c r="A121" s="364" t="s">
        <v>944</v>
      </c>
      <c r="B121" s="365" t="s">
        <v>945</v>
      </c>
      <c r="C121" s="531" t="s">
        <v>946</v>
      </c>
      <c r="D121" s="534" t="s">
        <v>639</v>
      </c>
      <c r="E121" s="542">
        <v>0</v>
      </c>
      <c r="F121" s="542">
        <v>0</v>
      </c>
      <c r="G121" s="543">
        <v>0</v>
      </c>
      <c r="H121" s="543">
        <v>0</v>
      </c>
    </row>
    <row r="122" spans="1:8" ht="12.75">
      <c r="A122" s="366" t="s">
        <v>947</v>
      </c>
      <c r="B122" s="365"/>
      <c r="C122" s="531"/>
      <c r="D122" s="534"/>
      <c r="E122" s="542"/>
      <c r="F122" s="542"/>
      <c r="G122" s="543"/>
      <c r="H122" s="543"/>
    </row>
    <row r="123" spans="1:8" ht="51">
      <c r="A123" s="364" t="s">
        <v>948</v>
      </c>
      <c r="B123" s="365" t="s">
        <v>949</v>
      </c>
      <c r="C123" s="531" t="s">
        <v>950</v>
      </c>
      <c r="D123" s="534" t="s">
        <v>595</v>
      </c>
      <c r="E123" s="542">
        <v>4419000</v>
      </c>
      <c r="F123" s="542">
        <v>0</v>
      </c>
      <c r="G123" s="543">
        <v>0</v>
      </c>
      <c r="H123" s="543">
        <v>0</v>
      </c>
    </row>
    <row r="124" spans="1:8" ht="63.75">
      <c r="A124" s="364" t="s">
        <v>951</v>
      </c>
      <c r="B124" s="365" t="s">
        <v>952</v>
      </c>
      <c r="C124" s="531" t="s">
        <v>953</v>
      </c>
      <c r="D124" s="534" t="s">
        <v>595</v>
      </c>
      <c r="E124" s="542">
        <v>2993000</v>
      </c>
      <c r="F124" s="542">
        <v>3</v>
      </c>
      <c r="G124" s="543">
        <v>8979000</v>
      </c>
      <c r="H124" s="543">
        <f>+G124*0.52</f>
        <v>4669080</v>
      </c>
    </row>
    <row r="125" spans="1:8" ht="12.75">
      <c r="A125" s="364" t="s">
        <v>954</v>
      </c>
      <c r="B125" s="365" t="s">
        <v>955</v>
      </c>
      <c r="C125" s="531" t="s">
        <v>956</v>
      </c>
      <c r="D125" s="534" t="s">
        <v>652</v>
      </c>
      <c r="E125" s="542">
        <v>0</v>
      </c>
      <c r="F125" s="542">
        <v>0</v>
      </c>
      <c r="G125" s="543">
        <v>1745000</v>
      </c>
      <c r="H125" s="543">
        <f>+G125*0.52</f>
        <v>907400</v>
      </c>
    </row>
    <row r="126" spans="1:8" s="486" customFormat="1" ht="12.75">
      <c r="A126" s="778" t="s">
        <v>635</v>
      </c>
      <c r="B126" s="779"/>
      <c r="C126" s="779"/>
      <c r="D126" s="779"/>
      <c r="E126" s="779"/>
      <c r="F126" s="779"/>
      <c r="G126" s="780"/>
      <c r="H126" s="541"/>
    </row>
    <row r="127" spans="1:8" ht="25.5">
      <c r="A127" s="364" t="s">
        <v>957</v>
      </c>
      <c r="B127" s="365" t="s">
        <v>958</v>
      </c>
      <c r="C127" s="531" t="s">
        <v>959</v>
      </c>
      <c r="D127" s="534" t="s">
        <v>595</v>
      </c>
      <c r="E127" s="542">
        <v>3858040</v>
      </c>
      <c r="F127" s="542">
        <v>0</v>
      </c>
      <c r="G127" s="542">
        <v>0</v>
      </c>
      <c r="H127" s="542">
        <v>0</v>
      </c>
    </row>
    <row r="128" spans="1:8" ht="12.75">
      <c r="A128" s="364" t="s">
        <v>960</v>
      </c>
      <c r="B128" s="365" t="s">
        <v>961</v>
      </c>
      <c r="C128" s="531" t="s">
        <v>962</v>
      </c>
      <c r="D128" s="534" t="s">
        <v>652</v>
      </c>
      <c r="E128" s="542">
        <v>0</v>
      </c>
      <c r="F128" s="542">
        <v>0</v>
      </c>
      <c r="G128" s="542">
        <v>0</v>
      </c>
      <c r="H128" s="542">
        <v>0</v>
      </c>
    </row>
    <row r="129" spans="1:8" ht="12.75">
      <c r="A129" s="364"/>
      <c r="B129" s="365"/>
      <c r="C129" s="531" t="s">
        <v>1135</v>
      </c>
      <c r="D129" s="534"/>
      <c r="E129" s="542"/>
      <c r="F129" s="542"/>
      <c r="G129" s="542">
        <v>2754575</v>
      </c>
      <c r="H129" s="542">
        <v>2754575</v>
      </c>
    </row>
    <row r="130" spans="1:8" ht="12.75">
      <c r="A130" s="366" t="s">
        <v>636</v>
      </c>
      <c r="B130" s="365"/>
      <c r="C130" s="531"/>
      <c r="D130" s="534"/>
      <c r="E130" s="542"/>
      <c r="F130" s="542"/>
      <c r="G130" s="542"/>
      <c r="H130" s="542"/>
    </row>
    <row r="131" spans="1:8" ht="25.5">
      <c r="A131" s="364" t="s">
        <v>963</v>
      </c>
      <c r="B131" s="365" t="s">
        <v>964</v>
      </c>
      <c r="C131" s="531" t="s">
        <v>965</v>
      </c>
      <c r="D131" s="534" t="s">
        <v>595</v>
      </c>
      <c r="E131" s="542">
        <v>2200000</v>
      </c>
      <c r="F131" s="654">
        <v>16.76</v>
      </c>
      <c r="G131" s="542">
        <v>36872000</v>
      </c>
      <c r="H131" s="543">
        <f>+G131*0.535</f>
        <v>19726520</v>
      </c>
    </row>
    <row r="132" spans="1:8" ht="25.5">
      <c r="A132" s="364" t="s">
        <v>966</v>
      </c>
      <c r="B132" s="365" t="s">
        <v>967</v>
      </c>
      <c r="C132" s="531" t="s">
        <v>968</v>
      </c>
      <c r="D132" s="534" t="s">
        <v>652</v>
      </c>
      <c r="E132" s="542">
        <v>0</v>
      </c>
      <c r="F132" s="542">
        <v>0</v>
      </c>
      <c r="G132" s="542">
        <v>16816047</v>
      </c>
      <c r="H132" s="543">
        <v>9164291</v>
      </c>
    </row>
    <row r="133" spans="1:8" ht="25.5">
      <c r="A133" s="364" t="s">
        <v>969</v>
      </c>
      <c r="B133" s="365" t="s">
        <v>970</v>
      </c>
      <c r="C133" s="531" t="s">
        <v>971</v>
      </c>
      <c r="D133" s="534" t="s">
        <v>652</v>
      </c>
      <c r="E133" s="542">
        <v>285</v>
      </c>
      <c r="F133" s="542">
        <v>0</v>
      </c>
      <c r="G133" s="542">
        <v>0</v>
      </c>
      <c r="H133" s="542">
        <v>0</v>
      </c>
    </row>
    <row r="134" spans="1:10" ht="51">
      <c r="A134" s="649" t="s">
        <v>972</v>
      </c>
      <c r="B134" s="650" t="s">
        <v>973</v>
      </c>
      <c r="C134" s="651" t="s">
        <v>974</v>
      </c>
      <c r="D134" s="544" t="s">
        <v>652</v>
      </c>
      <c r="E134" s="545">
        <v>0</v>
      </c>
      <c r="F134" s="545">
        <v>0</v>
      </c>
      <c r="G134" s="545">
        <f>SUM(G70:G125)+SUM(G127:G133)</f>
        <v>75658462</v>
      </c>
      <c r="H134" s="545">
        <f>SUM(H70:H125)+SUM(H127:H133)</f>
        <v>41637622.8</v>
      </c>
      <c r="J134" s="656"/>
    </row>
    <row r="135" spans="1:8" ht="12.75">
      <c r="A135" s="366" t="s">
        <v>637</v>
      </c>
      <c r="B135" s="365"/>
      <c r="C135" s="531"/>
      <c r="D135" s="534"/>
      <c r="E135" s="539"/>
      <c r="F135" s="539"/>
      <c r="G135" s="540"/>
      <c r="H135" s="540"/>
    </row>
    <row r="136" spans="1:8" ht="51">
      <c r="A136" s="364" t="s">
        <v>975</v>
      </c>
      <c r="B136" s="365" t="s">
        <v>976</v>
      </c>
      <c r="C136" s="531" t="s">
        <v>977</v>
      </c>
      <c r="D136" s="534" t="s">
        <v>652</v>
      </c>
      <c r="E136" s="542">
        <v>459</v>
      </c>
      <c r="F136" s="542" t="s">
        <v>639</v>
      </c>
      <c r="G136" s="542">
        <v>0</v>
      </c>
      <c r="H136" s="542">
        <v>0</v>
      </c>
    </row>
    <row r="137" spans="1:8" ht="38.25">
      <c r="A137" s="364" t="s">
        <v>978</v>
      </c>
      <c r="B137" s="365" t="s">
        <v>979</v>
      </c>
      <c r="C137" s="531" t="s">
        <v>980</v>
      </c>
      <c r="D137" s="534" t="s">
        <v>652</v>
      </c>
      <c r="E137" s="542">
        <v>1210</v>
      </c>
      <c r="F137" s="542" t="s">
        <v>639</v>
      </c>
      <c r="G137" s="542">
        <v>6771663</v>
      </c>
      <c r="H137" s="542">
        <v>3613326</v>
      </c>
    </row>
    <row r="138" spans="1:8" ht="38.25">
      <c r="A138" s="364" t="s">
        <v>981</v>
      </c>
      <c r="B138" s="365" t="s">
        <v>982</v>
      </c>
      <c r="C138" s="531" t="s">
        <v>983</v>
      </c>
      <c r="D138" s="534" t="s">
        <v>652</v>
      </c>
      <c r="E138" s="542">
        <v>692200000</v>
      </c>
      <c r="F138" s="542" t="s">
        <v>639</v>
      </c>
      <c r="G138" s="542">
        <v>0</v>
      </c>
      <c r="H138" s="542">
        <v>0</v>
      </c>
    </row>
    <row r="139" spans="1:8" ht="38.25">
      <c r="A139" s="364" t="s">
        <v>984</v>
      </c>
      <c r="B139" s="365" t="s">
        <v>985</v>
      </c>
      <c r="C139" s="531" t="s">
        <v>986</v>
      </c>
      <c r="D139" s="534" t="s">
        <v>652</v>
      </c>
      <c r="E139" s="542">
        <v>407</v>
      </c>
      <c r="F139" s="542" t="s">
        <v>639</v>
      </c>
      <c r="G139" s="542">
        <v>0</v>
      </c>
      <c r="H139" s="542">
        <v>0</v>
      </c>
    </row>
    <row r="140" spans="1:8" ht="38.25">
      <c r="A140" s="364" t="s">
        <v>987</v>
      </c>
      <c r="B140" s="365" t="s">
        <v>988</v>
      </c>
      <c r="C140" s="531" t="s">
        <v>989</v>
      </c>
      <c r="D140" s="534" t="s">
        <v>652</v>
      </c>
      <c r="E140" s="542">
        <v>0</v>
      </c>
      <c r="F140" s="542" t="s">
        <v>639</v>
      </c>
      <c r="G140" s="542">
        <v>0</v>
      </c>
      <c r="H140" s="542">
        <v>0</v>
      </c>
    </row>
    <row r="141" spans="1:8" ht="12.75">
      <c r="A141" s="364"/>
      <c r="B141" s="365"/>
      <c r="C141" s="531" t="s">
        <v>1136</v>
      </c>
      <c r="D141" s="534"/>
      <c r="E141" s="542"/>
      <c r="F141" s="542"/>
      <c r="G141" s="542">
        <v>447148</v>
      </c>
      <c r="H141" s="542">
        <v>447148</v>
      </c>
    </row>
    <row r="142" spans="1:8" ht="25.5">
      <c r="A142" s="364" t="s">
        <v>990</v>
      </c>
      <c r="B142" s="365" t="s">
        <v>991</v>
      </c>
      <c r="C142" s="531" t="s">
        <v>992</v>
      </c>
      <c r="D142" s="534" t="s">
        <v>652</v>
      </c>
      <c r="E142" s="542" t="s">
        <v>639</v>
      </c>
      <c r="F142" s="542" t="s">
        <v>639</v>
      </c>
      <c r="G142" s="542">
        <f>SUM(G136:G141)</f>
        <v>7218811</v>
      </c>
      <c r="H142" s="542">
        <f>SUM(H136:H141)</f>
        <v>4060474</v>
      </c>
    </row>
    <row r="143" spans="1:8" s="546" customFormat="1" ht="25.5" customHeight="1">
      <c r="A143" s="781" t="s">
        <v>1091</v>
      </c>
      <c r="B143" s="782"/>
      <c r="C143" s="783"/>
      <c r="D143" s="544"/>
      <c r="E143" s="545"/>
      <c r="F143" s="545"/>
      <c r="G143" s="545">
        <f>+G142+G134+G67+G30</f>
        <v>227606715</v>
      </c>
      <c r="H143" s="545">
        <f>+H142+H134+H67+H30</f>
        <v>127521733.8</v>
      </c>
    </row>
  </sheetData>
  <sheetProtection/>
  <mergeCells count="2">
    <mergeCell ref="A126:G126"/>
    <mergeCell ref="A143:C1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6" r:id="rId1"/>
  <headerFooter>
    <oddHeader>&amp;La 12/2020. (VII. 10.) önkormányzati rendelet 18.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62"/>
  <sheetViews>
    <sheetView view="pageBreakPreview" zoomScaleSheetLayoutView="100" workbookViewId="0" topLeftCell="A47">
      <selection activeCell="I61" sqref="I61"/>
    </sheetView>
  </sheetViews>
  <sheetFormatPr defaultColWidth="9.00390625" defaultRowHeight="12.75"/>
  <cols>
    <col min="1" max="1" width="6.875" style="400" customWidth="1"/>
    <col min="2" max="2" width="54.375" style="403" customWidth="1"/>
    <col min="3" max="3" width="16.625" style="400" bestFit="1" customWidth="1"/>
    <col min="4" max="4" width="20.625" style="400" bestFit="1" customWidth="1"/>
    <col min="5" max="5" width="16.625" style="400" bestFit="1" customWidth="1"/>
    <col min="6" max="6" width="55.125" style="400" customWidth="1"/>
    <col min="7" max="9" width="16.375" style="400" customWidth="1"/>
    <col min="10" max="10" width="9.875" style="400" bestFit="1" customWidth="1"/>
    <col min="11" max="16384" width="9.375" style="400" customWidth="1"/>
  </cols>
  <sheetData>
    <row r="1" ht="12.75"/>
    <row r="2" ht="12.75"/>
    <row r="3" ht="12.75"/>
    <row r="4" ht="12.75"/>
    <row r="5" spans="2:8" ht="39.75" customHeight="1">
      <c r="B5" s="401" t="s">
        <v>307</v>
      </c>
      <c r="C5" s="402"/>
      <c r="D5" s="402"/>
      <c r="E5" s="402"/>
      <c r="F5" s="402"/>
      <c r="G5" s="402"/>
      <c r="H5" s="402"/>
    </row>
    <row r="6" spans="7:9" ht="13.5" thickBot="1">
      <c r="G6" s="404"/>
      <c r="H6" s="404"/>
      <c r="I6" s="404" t="s">
        <v>308</v>
      </c>
    </row>
    <row r="7" spans="1:9" ht="18" customHeight="1" thickBot="1">
      <c r="A7" s="700" t="s">
        <v>309</v>
      </c>
      <c r="B7" s="405" t="s">
        <v>42</v>
      </c>
      <c r="C7" s="406"/>
      <c r="D7" s="406"/>
      <c r="E7" s="487"/>
      <c r="F7" s="405" t="s">
        <v>235</v>
      </c>
      <c r="G7" s="407"/>
      <c r="H7" s="489"/>
      <c r="I7" s="490"/>
    </row>
    <row r="8" spans="1:9" s="411" customFormat="1" ht="35.25" customHeight="1" thickBot="1">
      <c r="A8" s="701"/>
      <c r="B8" s="408" t="s">
        <v>34</v>
      </c>
      <c r="C8" s="409" t="s">
        <v>993</v>
      </c>
      <c r="D8" s="409" t="s">
        <v>1079</v>
      </c>
      <c r="E8" s="409" t="s">
        <v>1087</v>
      </c>
      <c r="F8" s="408" t="s">
        <v>34</v>
      </c>
      <c r="G8" s="410" t="s">
        <v>993</v>
      </c>
      <c r="H8" s="409" t="s">
        <v>1079</v>
      </c>
      <c r="I8" s="410" t="s">
        <v>1087</v>
      </c>
    </row>
    <row r="9" spans="1:9" s="101" customFormat="1" ht="12" customHeight="1" thickBot="1">
      <c r="A9" s="605"/>
      <c r="B9" s="98"/>
      <c r="C9" s="99"/>
      <c r="D9" s="99"/>
      <c r="E9" s="99"/>
      <c r="F9" s="98"/>
      <c r="G9" s="100"/>
      <c r="H9" s="100"/>
      <c r="I9" s="100"/>
    </row>
    <row r="10" spans="1:9" ht="15.75" customHeight="1">
      <c r="A10" s="606" t="s">
        <v>0</v>
      </c>
      <c r="B10" s="127" t="s">
        <v>310</v>
      </c>
      <c r="C10" s="413">
        <f>'3.mell'!D6</f>
        <v>224180800</v>
      </c>
      <c r="D10" s="413">
        <f>'3.mell'!E6</f>
        <v>227606715</v>
      </c>
      <c r="E10" s="413">
        <f>'3.mell'!F6</f>
        <v>127521734</v>
      </c>
      <c r="F10" s="127" t="s">
        <v>16</v>
      </c>
      <c r="G10" s="125">
        <f>'3.mell'!D83</f>
        <v>355011733</v>
      </c>
      <c r="H10" s="125">
        <f>'3.mell'!E83</f>
        <v>328121733</v>
      </c>
      <c r="I10" s="125">
        <f>'3.mell'!F83</f>
        <v>151057017</v>
      </c>
    </row>
    <row r="11" spans="1:9" ht="15.75" customHeight="1">
      <c r="A11" s="607" t="s">
        <v>1</v>
      </c>
      <c r="B11" s="109" t="s">
        <v>24</v>
      </c>
      <c r="C11" s="112">
        <f>'3.mell'!D13</f>
        <v>16680000</v>
      </c>
      <c r="D11" s="112">
        <f>'3.mell'!E13</f>
        <v>16680000</v>
      </c>
      <c r="E11" s="112">
        <f>'3.mell'!F13</f>
        <v>9755874</v>
      </c>
      <c r="F11" s="109" t="s">
        <v>8</v>
      </c>
      <c r="G11" s="125">
        <f>'3.mell'!D84</f>
        <v>69558506</v>
      </c>
      <c r="H11" s="125">
        <f>'3.mell'!E84</f>
        <v>64448506</v>
      </c>
      <c r="I11" s="125">
        <f>'3.mell'!F84</f>
        <v>29210434</v>
      </c>
    </row>
    <row r="12" spans="1:9" ht="15.75" customHeight="1">
      <c r="A12" s="607" t="s">
        <v>2</v>
      </c>
      <c r="B12" s="109" t="s">
        <v>311</v>
      </c>
      <c r="C12" s="112"/>
      <c r="D12" s="112"/>
      <c r="E12" s="112"/>
      <c r="F12" s="109" t="s">
        <v>312</v>
      </c>
      <c r="G12" s="125">
        <f>'3.mell'!D85</f>
        <v>367966700</v>
      </c>
      <c r="H12" s="125">
        <f>'3.mell'!E85</f>
        <v>312893737</v>
      </c>
      <c r="I12" s="125">
        <f>'3.mell'!F85</f>
        <v>125251444</v>
      </c>
    </row>
    <row r="13" spans="1:9" ht="15.75" customHeight="1">
      <c r="A13" s="607" t="s">
        <v>3</v>
      </c>
      <c r="B13" s="109" t="s">
        <v>13</v>
      </c>
      <c r="C13" s="112">
        <f>+'3.mell'!D27</f>
        <v>520500000</v>
      </c>
      <c r="D13" s="112">
        <f>+'3.mell'!E27</f>
        <v>499100000</v>
      </c>
      <c r="E13" s="112">
        <f>+'3.mell'!F27</f>
        <v>269470527</v>
      </c>
      <c r="F13" s="109" t="s">
        <v>9</v>
      </c>
      <c r="G13" s="125">
        <f>'3.mell'!D86</f>
        <v>5200000</v>
      </c>
      <c r="H13" s="125">
        <f>'3.mell'!E86</f>
        <v>5200000</v>
      </c>
      <c r="I13" s="125">
        <f>'3.mell'!F86</f>
        <v>2523939</v>
      </c>
    </row>
    <row r="14" spans="1:9" ht="15.75" customHeight="1">
      <c r="A14" s="607" t="s">
        <v>4</v>
      </c>
      <c r="B14" s="414" t="s">
        <v>26</v>
      </c>
      <c r="C14" s="112">
        <f>'3.mell'!D37</f>
        <v>126693305</v>
      </c>
      <c r="D14" s="112">
        <f>'3.mell'!E37</f>
        <v>126693305</v>
      </c>
      <c r="E14" s="112">
        <f>'3.mell'!F37</f>
        <v>28605936</v>
      </c>
      <c r="F14" s="109" t="s">
        <v>10</v>
      </c>
      <c r="G14" s="125">
        <f>'3.mell'!D87</f>
        <v>204728158</v>
      </c>
      <c r="H14" s="125">
        <f>'3.mell'!E87</f>
        <v>379417268</v>
      </c>
      <c r="I14" s="125">
        <f>'3.mell'!F87</f>
        <v>65507531</v>
      </c>
    </row>
    <row r="15" spans="1:9" ht="15.75" customHeight="1">
      <c r="A15" s="607" t="s">
        <v>5</v>
      </c>
      <c r="B15" s="109" t="s">
        <v>14</v>
      </c>
      <c r="C15" s="415">
        <f>+'3.mell'!D55</f>
        <v>0</v>
      </c>
      <c r="D15" s="415">
        <f>+'3.mell'!E55</f>
        <v>0</v>
      </c>
      <c r="E15" s="415">
        <f>+'3.mell'!F55</f>
        <v>1000000</v>
      </c>
      <c r="F15" s="416" t="s">
        <v>1047</v>
      </c>
      <c r="G15" s="125">
        <f>'3.mell'!D100</f>
        <v>84434371</v>
      </c>
      <c r="H15" s="125">
        <f>'3.mell'!E100</f>
        <v>257218481</v>
      </c>
      <c r="I15" s="125">
        <f>'3.mell'!F100</f>
        <v>0</v>
      </c>
    </row>
    <row r="16" spans="1:9" ht="15.75" customHeight="1" thickBot="1">
      <c r="A16" s="607" t="s">
        <v>6</v>
      </c>
      <c r="B16" s="109" t="s">
        <v>313</v>
      </c>
      <c r="C16" s="112"/>
      <c r="D16" s="112"/>
      <c r="E16" s="112"/>
      <c r="F16" s="417"/>
      <c r="G16" s="113"/>
      <c r="H16" s="113"/>
      <c r="I16" s="113"/>
    </row>
    <row r="17" spans="1:9" ht="15.75" customHeight="1" thickBot="1">
      <c r="A17" s="608" t="s">
        <v>314</v>
      </c>
      <c r="B17" s="104" t="s">
        <v>315</v>
      </c>
      <c r="C17" s="105">
        <v>888054105</v>
      </c>
      <c r="D17" s="105">
        <f>SUM(D10:D16)</f>
        <v>870080020</v>
      </c>
      <c r="E17" s="105">
        <f>SUM(E10:E16)</f>
        <v>436354071</v>
      </c>
      <c r="F17" s="104" t="s">
        <v>316</v>
      </c>
      <c r="G17" s="106">
        <f>SUM(G10:G14)</f>
        <v>1002465097</v>
      </c>
      <c r="H17" s="106">
        <f>SUM(H10:H14)</f>
        <v>1090081244</v>
      </c>
      <c r="I17" s="106">
        <f>SUM(I10:I14)</f>
        <v>373550365</v>
      </c>
    </row>
    <row r="18" spans="1:9" ht="15.75" customHeight="1">
      <c r="A18" s="609" t="s">
        <v>317</v>
      </c>
      <c r="B18" s="107" t="s">
        <v>318</v>
      </c>
      <c r="C18" s="108">
        <f>SUM(C19+C20+C21+C22)</f>
        <v>922278965</v>
      </c>
      <c r="D18" s="108">
        <f>SUM(D19+D20+D21+D22)</f>
        <v>864898965</v>
      </c>
      <c r="E18" s="108">
        <f>SUM(E19+E20+E21+E22)</f>
        <v>686692469</v>
      </c>
      <c r="F18" s="109" t="s">
        <v>226</v>
      </c>
      <c r="G18" s="110">
        <f>'3.mell'!D112</f>
        <v>462811495</v>
      </c>
      <c r="H18" s="110">
        <f>'3.mell'!E112</f>
        <v>405431495</v>
      </c>
      <c r="I18" s="110">
        <f>'3.mell'!F112</f>
        <v>175222321</v>
      </c>
    </row>
    <row r="19" spans="1:9" ht="15.75" customHeight="1">
      <c r="A19" s="607" t="s">
        <v>319</v>
      </c>
      <c r="B19" s="109" t="s">
        <v>320</v>
      </c>
      <c r="C19" s="112">
        <v>459467470</v>
      </c>
      <c r="D19" s="112">
        <f>'3.mell'!E69-D47</f>
        <v>459467470</v>
      </c>
      <c r="E19" s="112">
        <f>'3.mell'!F69-E47</f>
        <v>509558083</v>
      </c>
      <c r="F19" s="109" t="s">
        <v>298</v>
      </c>
      <c r="G19" s="113">
        <f>'3.mell'!D111</f>
        <v>8967233</v>
      </c>
      <c r="H19" s="113">
        <f>'3.mell'!E111</f>
        <v>8967233</v>
      </c>
      <c r="I19" s="113">
        <f>'3.mell'!F111</f>
        <v>10863040</v>
      </c>
    </row>
    <row r="20" spans="1:9" ht="15.75" customHeight="1">
      <c r="A20" s="607" t="s">
        <v>321</v>
      </c>
      <c r="B20" s="109" t="s">
        <v>322</v>
      </c>
      <c r="C20" s="112"/>
      <c r="D20" s="112"/>
      <c r="E20" s="112"/>
      <c r="F20" s="109" t="s">
        <v>323</v>
      </c>
      <c r="G20" s="113"/>
      <c r="H20" s="113"/>
      <c r="I20" s="113"/>
    </row>
    <row r="21" spans="1:9" ht="15.75" customHeight="1">
      <c r="A21" s="607" t="s">
        <v>324</v>
      </c>
      <c r="B21" s="109" t="s">
        <v>325</v>
      </c>
      <c r="C21" s="112"/>
      <c r="D21" s="112"/>
      <c r="E21" s="112"/>
      <c r="F21" s="109" t="s">
        <v>326</v>
      </c>
      <c r="G21" s="113"/>
      <c r="H21" s="113"/>
      <c r="I21" s="113"/>
    </row>
    <row r="22" spans="1:9" ht="15.75" customHeight="1">
      <c r="A22" s="607" t="s">
        <v>327</v>
      </c>
      <c r="B22" s="109" t="s">
        <v>1133</v>
      </c>
      <c r="C22" s="112">
        <f>'3.mell'!D72</f>
        <v>462811495</v>
      </c>
      <c r="D22" s="112">
        <f>'3.mell'!E72</f>
        <v>405431495</v>
      </c>
      <c r="E22" s="112">
        <f>'3.mell'!F72</f>
        <v>177134386</v>
      </c>
      <c r="F22" s="107" t="s">
        <v>328</v>
      </c>
      <c r="G22" s="113"/>
      <c r="H22" s="113"/>
      <c r="I22" s="113"/>
    </row>
    <row r="23" spans="1:9" ht="15.75" customHeight="1">
      <c r="A23" s="607" t="s">
        <v>329</v>
      </c>
      <c r="B23" s="109" t="s">
        <v>330</v>
      </c>
      <c r="C23" s="114">
        <f>SUM(C24:C25)</f>
        <v>0</v>
      </c>
      <c r="D23" s="114">
        <f>SUM(D24:D25)</f>
        <v>0</v>
      </c>
      <c r="E23" s="114">
        <f>SUM(E24:E25)</f>
        <v>0</v>
      </c>
      <c r="F23" s="109" t="s">
        <v>331</v>
      </c>
      <c r="G23" s="113"/>
      <c r="H23" s="113"/>
      <c r="I23" s="113"/>
    </row>
    <row r="24" spans="1:9" ht="15.75" customHeight="1">
      <c r="A24" s="609" t="s">
        <v>332</v>
      </c>
      <c r="B24" s="107" t="s">
        <v>333</v>
      </c>
      <c r="C24" s="115"/>
      <c r="D24" s="115"/>
      <c r="E24" s="115"/>
      <c r="F24" s="127" t="s">
        <v>334</v>
      </c>
      <c r="G24" s="110"/>
      <c r="H24" s="110"/>
      <c r="I24" s="110"/>
    </row>
    <row r="25" spans="1:9" ht="15.75" customHeight="1">
      <c r="A25" s="607" t="s">
        <v>335</v>
      </c>
      <c r="B25" s="109" t="s">
        <v>336</v>
      </c>
      <c r="C25" s="112"/>
      <c r="D25" s="112"/>
      <c r="E25" s="112"/>
      <c r="F25" s="109" t="s">
        <v>337</v>
      </c>
      <c r="G25" s="113"/>
      <c r="H25" s="113"/>
      <c r="I25" s="113"/>
    </row>
    <row r="26" spans="1:9" ht="15.75" customHeight="1">
      <c r="A26" s="607" t="s">
        <v>338</v>
      </c>
      <c r="B26" s="109" t="s">
        <v>339</v>
      </c>
      <c r="C26" s="112"/>
      <c r="D26" s="112"/>
      <c r="E26" s="112"/>
      <c r="F26" s="109" t="s">
        <v>340</v>
      </c>
      <c r="G26" s="113"/>
      <c r="H26" s="113"/>
      <c r="I26" s="113"/>
    </row>
    <row r="27" spans="1:9" ht="15.75" customHeight="1" thickBot="1">
      <c r="A27" s="609" t="s">
        <v>341</v>
      </c>
      <c r="B27" s="107" t="s">
        <v>342</v>
      </c>
      <c r="C27" s="115"/>
      <c r="D27" s="115"/>
      <c r="E27" s="115"/>
      <c r="F27" s="418"/>
      <c r="G27" s="110"/>
      <c r="H27" s="110"/>
      <c r="I27" s="110"/>
    </row>
    <row r="28" spans="1:9" ht="26.25" customHeight="1" thickBot="1">
      <c r="A28" s="610" t="s">
        <v>343</v>
      </c>
      <c r="B28" s="116" t="s">
        <v>344</v>
      </c>
      <c r="C28" s="117">
        <f>+C18+C23+C26+C27</f>
        <v>922278965</v>
      </c>
      <c r="D28" s="117">
        <f>+D18+D23+D26+D27</f>
        <v>864898965</v>
      </c>
      <c r="E28" s="117">
        <f>+E18+E23+E26+E27</f>
        <v>686692469</v>
      </c>
      <c r="F28" s="116" t="s">
        <v>345</v>
      </c>
      <c r="G28" s="118">
        <f>SUM(G18:G26)</f>
        <v>471778728</v>
      </c>
      <c r="H28" s="118">
        <f>SUM(H18:H26)</f>
        <v>414398728</v>
      </c>
      <c r="I28" s="118">
        <f>SUM(I18:I26)</f>
        <v>186085361</v>
      </c>
    </row>
    <row r="29" spans="1:9" ht="13.5" thickBot="1">
      <c r="A29" s="608" t="s">
        <v>346</v>
      </c>
      <c r="B29" s="119" t="s">
        <v>347</v>
      </c>
      <c r="C29" s="120">
        <f>C17+C28</f>
        <v>1810333070</v>
      </c>
      <c r="D29" s="120">
        <f>D17+D28</f>
        <v>1734978985</v>
      </c>
      <c r="E29" s="120">
        <f>E17+E28</f>
        <v>1123046540</v>
      </c>
      <c r="F29" s="119" t="s">
        <v>348</v>
      </c>
      <c r="G29" s="120">
        <f>G17+G28</f>
        <v>1474243825</v>
      </c>
      <c r="H29" s="120">
        <f>H17+H28</f>
        <v>1504479972</v>
      </c>
      <c r="I29" s="120">
        <f>I17+I28</f>
        <v>559635726</v>
      </c>
    </row>
    <row r="30" spans="1:8" ht="12.75">
      <c r="A30" s="121"/>
      <c r="B30" s="121"/>
      <c r="C30" s="122"/>
      <c r="D30" s="122"/>
      <c r="E30" s="660">
        <f>+E13/D13</f>
        <v>0.539912897214987</v>
      </c>
      <c r="F30" s="121"/>
      <c r="G30" s="122"/>
      <c r="H30" s="122"/>
    </row>
    <row r="31" spans="1:8" ht="12.75">
      <c r="A31" s="121"/>
      <c r="B31" s="121"/>
      <c r="C31" s="122"/>
      <c r="D31" s="122"/>
      <c r="E31" s="122"/>
      <c r="F31" s="121"/>
      <c r="G31" s="122"/>
      <c r="H31" s="122"/>
    </row>
    <row r="32" spans="1:8" ht="12.75">
      <c r="A32" s="121"/>
      <c r="B32" s="121"/>
      <c r="C32" s="122"/>
      <c r="D32" s="122"/>
      <c r="E32" s="122"/>
      <c r="F32" s="121"/>
      <c r="G32" s="122"/>
      <c r="H32" s="122"/>
    </row>
    <row r="33" spans="1:8" ht="12.75">
      <c r="A33" s="121"/>
      <c r="B33" s="121"/>
      <c r="C33" s="122"/>
      <c r="D33" s="122"/>
      <c r="E33" s="122"/>
      <c r="F33" s="121"/>
      <c r="G33" s="122"/>
      <c r="H33" s="122"/>
    </row>
    <row r="34" spans="2:8" ht="31.5">
      <c r="B34" s="401" t="s">
        <v>349</v>
      </c>
      <c r="C34" s="402"/>
      <c r="D34" s="402"/>
      <c r="E34" s="402"/>
      <c r="F34" s="402"/>
      <c r="G34" s="402"/>
      <c r="H34" s="402"/>
    </row>
    <row r="35" spans="7:9" ht="13.5" thickBot="1">
      <c r="G35" s="404"/>
      <c r="H35" s="404"/>
      <c r="I35" s="404" t="s">
        <v>308</v>
      </c>
    </row>
    <row r="36" spans="1:9" ht="13.5" thickBot="1">
      <c r="A36" s="702" t="s">
        <v>309</v>
      </c>
      <c r="B36" s="405" t="s">
        <v>42</v>
      </c>
      <c r="C36" s="406"/>
      <c r="D36" s="406"/>
      <c r="E36" s="487"/>
      <c r="F36" s="405" t="s">
        <v>235</v>
      </c>
      <c r="G36" s="407"/>
      <c r="H36" s="489"/>
      <c r="I36" s="490"/>
    </row>
    <row r="37" spans="1:9" ht="36.75" thickBot="1">
      <c r="A37" s="703"/>
      <c r="B37" s="408" t="s">
        <v>34</v>
      </c>
      <c r="C37" s="409" t="s">
        <v>993</v>
      </c>
      <c r="D37" s="409" t="s">
        <v>1079</v>
      </c>
      <c r="E37" s="409" t="s">
        <v>1087</v>
      </c>
      <c r="F37" s="408" t="s">
        <v>34</v>
      </c>
      <c r="G37" s="409" t="s">
        <v>993</v>
      </c>
      <c r="H37" s="409" t="s">
        <v>1079</v>
      </c>
      <c r="I37" s="410" t="s">
        <v>1087</v>
      </c>
    </row>
    <row r="38" spans="1:9" ht="13.5" thickBot="1">
      <c r="A38" s="97"/>
      <c r="B38" s="98"/>
      <c r="C38" s="99"/>
      <c r="D38" s="99"/>
      <c r="E38" s="488"/>
      <c r="F38" s="98"/>
      <c r="G38" s="100"/>
      <c r="H38" s="100"/>
      <c r="I38" s="100"/>
    </row>
    <row r="39" spans="1:9" ht="15.75" customHeight="1">
      <c r="A39" s="412" t="s">
        <v>0</v>
      </c>
      <c r="B39" s="127" t="s">
        <v>25</v>
      </c>
      <c r="C39" s="413">
        <f>'3.mell'!D20</f>
        <v>74900000</v>
      </c>
      <c r="D39" s="413">
        <f>'3.mell'!E20</f>
        <v>74900000</v>
      </c>
      <c r="E39" s="413">
        <f>'3.mell'!F20</f>
        <v>0</v>
      </c>
      <c r="F39" s="127" t="s">
        <v>11</v>
      </c>
      <c r="G39" s="125">
        <f>'3.mell'!D102</f>
        <v>578270977.56</v>
      </c>
      <c r="H39" s="125">
        <f>'3.mell'!E102</f>
        <v>468880745.56</v>
      </c>
      <c r="I39" s="125">
        <f>'3.mell'!F102</f>
        <v>90786668</v>
      </c>
    </row>
    <row r="40" spans="1:9" ht="15.75" customHeight="1">
      <c r="A40" s="111" t="s">
        <v>1</v>
      </c>
      <c r="B40" s="109" t="s">
        <v>350</v>
      </c>
      <c r="C40" s="112"/>
      <c r="D40" s="112"/>
      <c r="E40" s="112"/>
      <c r="F40" s="109" t="s">
        <v>351</v>
      </c>
      <c r="G40" s="113"/>
      <c r="H40" s="113"/>
      <c r="I40" s="113"/>
    </row>
    <row r="41" spans="1:9" ht="15.75" customHeight="1">
      <c r="A41" s="111" t="s">
        <v>2</v>
      </c>
      <c r="B41" s="109" t="s">
        <v>18</v>
      </c>
      <c r="C41" s="112">
        <f>'3.mell'!D49</f>
        <v>50000000</v>
      </c>
      <c r="D41" s="112">
        <f>'3.mell'!E49</f>
        <v>50000000</v>
      </c>
      <c r="E41" s="112">
        <f>'3.mell'!F49</f>
        <v>57480</v>
      </c>
      <c r="F41" s="109" t="s">
        <v>12</v>
      </c>
      <c r="G41" s="113">
        <f>'3.mell'!D103</f>
        <v>9255000</v>
      </c>
      <c r="H41" s="113">
        <f>'3.mell'!E103</f>
        <v>13055000</v>
      </c>
      <c r="I41" s="113">
        <f>'3.mell'!F103</f>
        <v>446608</v>
      </c>
    </row>
    <row r="42" spans="1:9" ht="15.75" customHeight="1">
      <c r="A42" s="111" t="s">
        <v>3</v>
      </c>
      <c r="B42" s="109" t="s">
        <v>352</v>
      </c>
      <c r="C42" s="112"/>
      <c r="D42" s="112"/>
      <c r="E42" s="112"/>
      <c r="F42" s="109" t="s">
        <v>353</v>
      </c>
      <c r="G42" s="113"/>
      <c r="H42" s="113"/>
      <c r="I42" s="113"/>
    </row>
    <row r="43" spans="1:9" ht="15.75" customHeight="1">
      <c r="A43" s="111" t="s">
        <v>4</v>
      </c>
      <c r="B43" s="109" t="s">
        <v>354</v>
      </c>
      <c r="C43" s="112"/>
      <c r="D43" s="112"/>
      <c r="E43" s="112"/>
      <c r="F43" s="109" t="s">
        <v>282</v>
      </c>
      <c r="G43" s="113">
        <f>'3.mell'!D104</f>
        <v>0</v>
      </c>
      <c r="H43" s="113">
        <f>'3.mell'!E104</f>
        <v>0</v>
      </c>
      <c r="I43" s="113">
        <f>'3.mell'!F104</f>
        <v>0</v>
      </c>
    </row>
    <row r="44" spans="1:9" ht="15.75" customHeight="1" thickBot="1">
      <c r="A44" s="111" t="s">
        <v>5</v>
      </c>
      <c r="B44" s="109" t="s">
        <v>355</v>
      </c>
      <c r="C44" s="415"/>
      <c r="D44" s="415"/>
      <c r="E44" s="415"/>
      <c r="F44" s="416"/>
      <c r="G44" s="113"/>
      <c r="H44" s="113"/>
      <c r="I44" s="113"/>
    </row>
    <row r="45" spans="1:9" ht="15.75" customHeight="1" thickBot="1">
      <c r="A45" s="103" t="s">
        <v>356</v>
      </c>
      <c r="B45" s="104" t="s">
        <v>357</v>
      </c>
      <c r="C45" s="105">
        <f>C39+C41</f>
        <v>124900000</v>
      </c>
      <c r="D45" s="105">
        <f>D39+D41</f>
        <v>124900000</v>
      </c>
      <c r="E45" s="105">
        <f>E39+E41</f>
        <v>57480</v>
      </c>
      <c r="F45" s="104" t="s">
        <v>358</v>
      </c>
      <c r="G45" s="106">
        <f>G39+G41+G43+G44</f>
        <v>587525977.56</v>
      </c>
      <c r="H45" s="106">
        <f>H39+H41+H43+H44</f>
        <v>481935745.56</v>
      </c>
      <c r="I45" s="106">
        <f>I39+I41+I43+I44</f>
        <v>91233276</v>
      </c>
    </row>
    <row r="46" spans="1:9" ht="15.75" customHeight="1">
      <c r="A46" s="412" t="s">
        <v>314</v>
      </c>
      <c r="B46" s="123" t="s">
        <v>359</v>
      </c>
      <c r="C46" s="124">
        <f>+C47+C48+C49+C50+C51</f>
        <v>126536733</v>
      </c>
      <c r="D46" s="124">
        <f>+D47+D48+D49+D50+D51</f>
        <v>126536733</v>
      </c>
      <c r="E46" s="124">
        <f>+E47+E48+E49+E50+E51</f>
        <v>126536733</v>
      </c>
      <c r="F46" s="109" t="s">
        <v>360</v>
      </c>
      <c r="G46" s="125"/>
      <c r="H46" s="125"/>
      <c r="I46" s="125"/>
    </row>
    <row r="47" spans="1:9" ht="15.75" customHeight="1">
      <c r="A47" s="111" t="s">
        <v>317</v>
      </c>
      <c r="B47" s="126" t="s">
        <v>361</v>
      </c>
      <c r="C47" s="112">
        <v>126536733</v>
      </c>
      <c r="D47" s="112">
        <v>126536733</v>
      </c>
      <c r="E47" s="112">
        <v>126536733</v>
      </c>
      <c r="F47" s="109" t="s">
        <v>362</v>
      </c>
      <c r="G47" s="113"/>
      <c r="H47" s="113"/>
      <c r="I47" s="113"/>
    </row>
    <row r="48" spans="1:9" ht="15.75" customHeight="1">
      <c r="A48" s="412" t="s">
        <v>319</v>
      </c>
      <c r="B48" s="126" t="s">
        <v>363</v>
      </c>
      <c r="C48" s="112"/>
      <c r="D48" s="112"/>
      <c r="E48" s="112"/>
      <c r="F48" s="109" t="s">
        <v>323</v>
      </c>
      <c r="G48" s="113"/>
      <c r="H48" s="113"/>
      <c r="I48" s="113"/>
    </row>
    <row r="49" spans="1:9" ht="15.75" customHeight="1">
      <c r="A49" s="111" t="s">
        <v>321</v>
      </c>
      <c r="B49" s="126" t="s">
        <v>364</v>
      </c>
      <c r="C49" s="112"/>
      <c r="D49" s="112"/>
      <c r="E49" s="112"/>
      <c r="F49" s="109" t="s">
        <v>326</v>
      </c>
      <c r="G49" s="113"/>
      <c r="H49" s="113"/>
      <c r="I49" s="113"/>
    </row>
    <row r="50" spans="1:9" ht="15.75" customHeight="1">
      <c r="A50" s="412" t="s">
        <v>324</v>
      </c>
      <c r="B50" s="126" t="s">
        <v>365</v>
      </c>
      <c r="C50" s="112"/>
      <c r="D50" s="112"/>
      <c r="E50" s="112"/>
      <c r="F50" s="107" t="s">
        <v>328</v>
      </c>
      <c r="G50" s="113"/>
      <c r="H50" s="113"/>
      <c r="I50" s="113"/>
    </row>
    <row r="51" spans="1:9" ht="15.75" customHeight="1">
      <c r="A51" s="111" t="s">
        <v>327</v>
      </c>
      <c r="B51" s="126"/>
      <c r="C51" s="112"/>
      <c r="D51" s="112"/>
      <c r="E51" s="112"/>
      <c r="F51" s="109" t="s">
        <v>366</v>
      </c>
      <c r="G51" s="113"/>
      <c r="H51" s="113"/>
      <c r="I51" s="113"/>
    </row>
    <row r="52" spans="1:9" ht="15.75" customHeight="1">
      <c r="A52" s="412" t="s">
        <v>329</v>
      </c>
      <c r="B52" s="604" t="s">
        <v>367</v>
      </c>
      <c r="C52" s="114">
        <f>SUM(C53:C57)</f>
        <v>0</v>
      </c>
      <c r="D52" s="114">
        <f>SUM(D53:D57)</f>
        <v>0</v>
      </c>
      <c r="E52" s="114">
        <f>SUM(E53:E57)</f>
        <v>0</v>
      </c>
      <c r="F52" s="127" t="s">
        <v>368</v>
      </c>
      <c r="G52" s="113"/>
      <c r="H52" s="113"/>
      <c r="I52" s="113"/>
    </row>
    <row r="53" spans="1:9" ht="15.75" customHeight="1">
      <c r="A53" s="111" t="s">
        <v>332</v>
      </c>
      <c r="B53" s="126" t="s">
        <v>369</v>
      </c>
      <c r="C53" s="112"/>
      <c r="D53" s="112"/>
      <c r="E53" s="112"/>
      <c r="F53" s="127" t="s">
        <v>370</v>
      </c>
      <c r="G53" s="113"/>
      <c r="H53" s="113"/>
      <c r="I53" s="113"/>
    </row>
    <row r="54" spans="1:9" ht="15.75" customHeight="1">
      <c r="A54" s="412" t="s">
        <v>335</v>
      </c>
      <c r="B54" s="126" t="s">
        <v>371</v>
      </c>
      <c r="C54" s="112"/>
      <c r="D54" s="112"/>
      <c r="E54" s="112"/>
      <c r="F54" s="128"/>
      <c r="G54" s="113"/>
      <c r="H54" s="113"/>
      <c r="I54" s="113"/>
    </row>
    <row r="55" spans="1:9" ht="15.75" customHeight="1">
      <c r="A55" s="111" t="s">
        <v>338</v>
      </c>
      <c r="B55" s="126" t="s">
        <v>372</v>
      </c>
      <c r="C55" s="112"/>
      <c r="D55" s="112"/>
      <c r="E55" s="112"/>
      <c r="F55" s="128"/>
      <c r="G55" s="113"/>
      <c r="H55" s="113"/>
      <c r="I55" s="113"/>
    </row>
    <row r="56" spans="1:9" ht="15.75" customHeight="1">
      <c r="A56" s="412" t="s">
        <v>341</v>
      </c>
      <c r="B56" s="419" t="s">
        <v>373</v>
      </c>
      <c r="C56" s="112"/>
      <c r="D56" s="112"/>
      <c r="E56" s="112"/>
      <c r="F56" s="417"/>
      <c r="G56" s="113"/>
      <c r="H56" s="113"/>
      <c r="I56" s="113"/>
    </row>
    <row r="57" spans="1:9" ht="15.75" customHeight="1" thickBot="1">
      <c r="A57" s="111" t="s">
        <v>343</v>
      </c>
      <c r="B57" s="420" t="s">
        <v>374</v>
      </c>
      <c r="C57" s="112"/>
      <c r="D57" s="112"/>
      <c r="E57" s="112"/>
      <c r="F57" s="128"/>
      <c r="G57" s="113"/>
      <c r="H57" s="113"/>
      <c r="I57" s="113"/>
    </row>
    <row r="58" spans="1:9" ht="21.75" thickBot="1">
      <c r="A58" s="103" t="s">
        <v>346</v>
      </c>
      <c r="B58" s="104" t="s">
        <v>375</v>
      </c>
      <c r="C58" s="105">
        <f>C46+C52</f>
        <v>126536733</v>
      </c>
      <c r="D58" s="105">
        <f>D46+D52</f>
        <v>126536733</v>
      </c>
      <c r="E58" s="105">
        <f>E46+E52</f>
        <v>126536733</v>
      </c>
      <c r="F58" s="104" t="s">
        <v>376</v>
      </c>
      <c r="G58" s="129">
        <f>SUM(G46:G53)</f>
        <v>0</v>
      </c>
      <c r="H58" s="129">
        <f>SUM(H46:H53)</f>
        <v>0</v>
      </c>
      <c r="I58" s="129">
        <f>SUM(I46:I53)</f>
        <v>0</v>
      </c>
    </row>
    <row r="59" spans="1:9" ht="13.5" thickBot="1">
      <c r="A59" s="103" t="s">
        <v>377</v>
      </c>
      <c r="B59" s="119" t="s">
        <v>378</v>
      </c>
      <c r="C59" s="130">
        <f>C45+C58</f>
        <v>251436733</v>
      </c>
      <c r="D59" s="130">
        <f>D45+D58</f>
        <v>251436733</v>
      </c>
      <c r="E59" s="130">
        <f>E45+E58</f>
        <v>126594213</v>
      </c>
      <c r="F59" s="119" t="s">
        <v>379</v>
      </c>
      <c r="G59" s="131">
        <f>SUM(G45+G58)</f>
        <v>587525977.56</v>
      </c>
      <c r="H59" s="131">
        <f>SUM(H45+H58)</f>
        <v>481935745.56</v>
      </c>
      <c r="I59" s="131">
        <f>SUM(I45+I58)</f>
        <v>91233276</v>
      </c>
    </row>
    <row r="60" spans="1:9" ht="13.5" thickBot="1">
      <c r="A60" s="132" t="s">
        <v>380</v>
      </c>
      <c r="B60" s="133" t="s">
        <v>381</v>
      </c>
      <c r="C60" s="134">
        <f>SUM(C29+C59)</f>
        <v>2061769803</v>
      </c>
      <c r="D60" s="134">
        <f>SUM(D29+D59)</f>
        <v>1986415718</v>
      </c>
      <c r="E60" s="134">
        <f>SUM(E29+E59)+4</f>
        <v>1249640757</v>
      </c>
      <c r="F60" s="133" t="s">
        <v>382</v>
      </c>
      <c r="G60" s="134">
        <f>SUM(G29+G59)</f>
        <v>2061769802.56</v>
      </c>
      <c r="H60" s="134">
        <f>SUM(H29+H59)</f>
        <v>1986415717.56</v>
      </c>
      <c r="I60" s="134">
        <f>SUM(I29+I59)</f>
        <v>650869002</v>
      </c>
    </row>
    <row r="61" spans="5:9" ht="12.75">
      <c r="E61" s="400">
        <f>+'3.mell'!F75-E60</f>
        <v>0</v>
      </c>
      <c r="I61" s="658">
        <f>+I60/H60</f>
        <v>0.32766001408783174</v>
      </c>
    </row>
    <row r="62" ht="12.75">
      <c r="D62" s="400">
        <f>D60-H60</f>
        <v>0.440000057220459</v>
      </c>
    </row>
  </sheetData>
  <sheetProtection/>
  <mergeCells count="2">
    <mergeCell ref="A7:A8"/>
    <mergeCell ref="A36:A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3"/>
  <headerFooter>
    <oddHeader>&amp;Ca 12/2020. (VII. 10.) önkormányzati rendelet 2. melléklete</oddHeader>
  </headerFooter>
  <rowBreaks count="1" manualBreakCount="1">
    <brk id="3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85" zoomScaleSheetLayoutView="85" workbookViewId="0" topLeftCell="A82">
      <selection activeCell="F102" sqref="F102"/>
    </sheetView>
  </sheetViews>
  <sheetFormatPr defaultColWidth="9.00390625" defaultRowHeight="12.75"/>
  <cols>
    <col min="1" max="1" width="19.00390625" style="422" customWidth="1"/>
    <col min="2" max="2" width="19.125" style="90" customWidth="1"/>
    <col min="3" max="3" width="77.375" style="91" customWidth="1"/>
    <col min="4" max="6" width="25.00390625" style="92" customWidth="1"/>
    <col min="7" max="7" width="13.00390625" style="421" bestFit="1" customWidth="1"/>
    <col min="8" max="8" width="11.875" style="421" bestFit="1" customWidth="1"/>
    <col min="9" max="9" width="2.125" style="421" bestFit="1" customWidth="1"/>
    <col min="10" max="10" width="9.125" style="421" bestFit="1" customWidth="1"/>
    <col min="11" max="11" width="2.125" style="421" bestFit="1" customWidth="1"/>
    <col min="12" max="12" width="9.125" style="421" bestFit="1" customWidth="1"/>
    <col min="13" max="16384" width="9.375" style="422" customWidth="1"/>
  </cols>
  <sheetData>
    <row r="1" spans="2:12" s="1" customFormat="1" ht="16.5" customHeight="1" thickBot="1">
      <c r="B1" s="2"/>
      <c r="C1" s="3"/>
      <c r="D1" s="4"/>
      <c r="E1" s="4"/>
      <c r="F1" s="4"/>
      <c r="G1" s="5"/>
      <c r="H1" s="5"/>
      <c r="I1" s="5"/>
      <c r="J1" s="5"/>
      <c r="K1" s="5"/>
      <c r="L1" s="5"/>
    </row>
    <row r="2" spans="1:12" s="9" customFormat="1" ht="21" customHeight="1">
      <c r="A2" s="704" t="s">
        <v>34</v>
      </c>
      <c r="B2" s="705"/>
      <c r="C2" s="6" t="s">
        <v>1010</v>
      </c>
      <c r="D2" s="7"/>
      <c r="E2" s="7"/>
      <c r="F2" s="7" t="s">
        <v>36</v>
      </c>
      <c r="G2" s="8"/>
      <c r="H2" s="8"/>
      <c r="I2" s="8"/>
      <c r="J2" s="8"/>
      <c r="K2" s="8"/>
      <c r="L2" s="8"/>
    </row>
    <row r="3" spans="1:12" s="9" customFormat="1" ht="16.5" thickBot="1">
      <c r="A3" s="706" t="s">
        <v>37</v>
      </c>
      <c r="B3" s="707"/>
      <c r="C3" s="10" t="s">
        <v>38</v>
      </c>
      <c r="D3" s="11"/>
      <c r="E3" s="11"/>
      <c r="F3" s="11"/>
      <c r="G3" s="8"/>
      <c r="H3" s="8"/>
      <c r="I3" s="8"/>
      <c r="J3" s="8"/>
      <c r="K3" s="8"/>
      <c r="L3" s="8"/>
    </row>
    <row r="4" spans="1:6" ht="24.75" thickBot="1">
      <c r="A4" s="12" t="s">
        <v>39</v>
      </c>
      <c r="B4" s="13" t="s">
        <v>40</v>
      </c>
      <c r="C4" s="491" t="s">
        <v>41</v>
      </c>
      <c r="D4" s="494" t="s">
        <v>1072</v>
      </c>
      <c r="E4" s="493" t="s">
        <v>1079</v>
      </c>
      <c r="F4" s="492" t="s">
        <v>1087</v>
      </c>
    </row>
    <row r="5" spans="1:12" s="20" customFormat="1" ht="15.75" customHeight="1" thickBot="1">
      <c r="A5" s="16"/>
      <c r="B5" s="17"/>
      <c r="C5" s="17" t="s">
        <v>42</v>
      </c>
      <c r="D5" s="18"/>
      <c r="E5" s="18"/>
      <c r="F5" s="18"/>
      <c r="G5" s="19"/>
      <c r="H5" s="19"/>
      <c r="I5" s="19"/>
      <c r="J5" s="19"/>
      <c r="K5" s="19"/>
      <c r="L5" s="19"/>
    </row>
    <row r="6" spans="1:12" s="20" customFormat="1" ht="13.5" customHeight="1" thickBot="1">
      <c r="A6" s="21" t="s">
        <v>43</v>
      </c>
      <c r="B6" s="22" t="s">
        <v>0</v>
      </c>
      <c r="C6" s="23" t="s">
        <v>44</v>
      </c>
      <c r="D6" s="24">
        <f>SUM(D7:D12)</f>
        <v>224180800</v>
      </c>
      <c r="E6" s="24">
        <f>SUM(E7:E12)</f>
        <v>227606715</v>
      </c>
      <c r="F6" s="24">
        <f>SUM(F7:F12)</f>
        <v>127521734</v>
      </c>
      <c r="G6" s="661"/>
      <c r="H6" s="19"/>
      <c r="I6" s="19"/>
      <c r="J6" s="19"/>
      <c r="K6" s="19"/>
      <c r="L6" s="19"/>
    </row>
    <row r="7" spans="1:12" s="27" customFormat="1" ht="13.5" customHeight="1">
      <c r="A7" s="423" t="s">
        <v>45</v>
      </c>
      <c r="B7" s="424" t="s">
        <v>46</v>
      </c>
      <c r="C7" s="25" t="s">
        <v>47</v>
      </c>
      <c r="D7" s="425">
        <f>'7.a.mell'!D7</f>
        <v>0</v>
      </c>
      <c r="E7" s="425">
        <f>'7.a.mell'!E7</f>
        <v>224192</v>
      </c>
      <c r="F7" s="425">
        <f>'7.a.mell'!F7</f>
        <v>6680907</v>
      </c>
      <c r="G7" s="26"/>
      <c r="H7" s="26"/>
      <c r="I7" s="26"/>
      <c r="J7" s="26"/>
      <c r="K7" s="26"/>
      <c r="L7" s="26"/>
    </row>
    <row r="8" spans="1:12" s="30" customFormat="1" ht="13.5" customHeight="1">
      <c r="A8" s="371" t="s">
        <v>48</v>
      </c>
      <c r="B8" s="426" t="s">
        <v>49</v>
      </c>
      <c r="C8" s="28" t="s">
        <v>50</v>
      </c>
      <c r="D8" s="425">
        <f>'7.a.mell'!D8</f>
        <v>144505250</v>
      </c>
      <c r="E8" s="425">
        <f>'7.a.mell'!E8</f>
        <v>144505250</v>
      </c>
      <c r="F8" s="425">
        <f>'7.a.mell'!F8</f>
        <v>75142730</v>
      </c>
      <c r="G8" s="29"/>
      <c r="H8" s="29"/>
      <c r="I8" s="29"/>
      <c r="J8" s="29"/>
      <c r="K8" s="29"/>
      <c r="L8" s="29"/>
    </row>
    <row r="9" spans="1:12" s="30" customFormat="1" ht="13.5" customHeight="1">
      <c r="A9" s="371" t="s">
        <v>51</v>
      </c>
      <c r="B9" s="426" t="s">
        <v>52</v>
      </c>
      <c r="C9" s="28" t="s">
        <v>53</v>
      </c>
      <c r="D9" s="425">
        <f>'7.a.mell'!D9</f>
        <v>72903887</v>
      </c>
      <c r="E9" s="425">
        <f>'7.a.mell'!E9</f>
        <v>75658462</v>
      </c>
      <c r="F9" s="425">
        <f>'7.a.mell'!F9</f>
        <v>41637623</v>
      </c>
      <c r="G9" s="655"/>
      <c r="H9" s="29"/>
      <c r="I9" s="29"/>
      <c r="J9" s="29"/>
      <c r="K9" s="29"/>
      <c r="L9" s="29"/>
    </row>
    <row r="10" spans="1:12" s="30" customFormat="1" ht="13.5" customHeight="1">
      <c r="A10" s="371" t="s">
        <v>54</v>
      </c>
      <c r="B10" s="426" t="s">
        <v>55</v>
      </c>
      <c r="C10" s="28" t="s">
        <v>56</v>
      </c>
      <c r="D10" s="425">
        <f>'7.a.mell'!D10</f>
        <v>6771663</v>
      </c>
      <c r="E10" s="425">
        <f>'7.a.mell'!E10</f>
        <v>7218811</v>
      </c>
      <c r="F10" s="425">
        <f>'7.a.mell'!F10</f>
        <v>4060474</v>
      </c>
      <c r="G10" s="29"/>
      <c r="H10" s="29"/>
      <c r="I10" s="29"/>
      <c r="J10" s="29"/>
      <c r="K10" s="29"/>
      <c r="L10" s="29"/>
    </row>
    <row r="11" spans="1:12" s="30" customFormat="1" ht="13.5" customHeight="1">
      <c r="A11" s="371" t="s">
        <v>57</v>
      </c>
      <c r="B11" s="426" t="s">
        <v>58</v>
      </c>
      <c r="C11" s="28" t="s">
        <v>59</v>
      </c>
      <c r="D11" s="425">
        <f>'7.a.mell'!D11</f>
        <v>0</v>
      </c>
      <c r="E11" s="425">
        <f>'7.a.mell'!E11</f>
        <v>0</v>
      </c>
      <c r="F11" s="425">
        <f>'7.a.mell'!F11</f>
        <v>0</v>
      </c>
      <c r="G11" s="29"/>
      <c r="H11" s="29"/>
      <c r="I11" s="29"/>
      <c r="J11" s="29"/>
      <c r="K11" s="29"/>
      <c r="L11" s="29"/>
    </row>
    <row r="12" spans="1:12" s="27" customFormat="1" ht="13.5" customHeight="1" thickBot="1">
      <c r="A12" s="427" t="s">
        <v>60</v>
      </c>
      <c r="B12" s="428" t="s">
        <v>61</v>
      </c>
      <c r="C12" s="31" t="s">
        <v>62</v>
      </c>
      <c r="D12" s="425">
        <f>'7.a.mell'!D12</f>
        <v>0</v>
      </c>
      <c r="E12" s="425">
        <f>'7.a.mell'!E12</f>
        <v>0</v>
      </c>
      <c r="F12" s="425">
        <f>'7.a.mell'!F12</f>
        <v>0</v>
      </c>
      <c r="G12" s="26"/>
      <c r="H12" s="26"/>
      <c r="I12" s="26"/>
      <c r="J12" s="26"/>
      <c r="K12" s="26"/>
      <c r="L12" s="26"/>
    </row>
    <row r="13" spans="1:12" s="27" customFormat="1" ht="13.5" customHeight="1" thickBot="1">
      <c r="A13" s="21" t="s">
        <v>63</v>
      </c>
      <c r="B13" s="22" t="s">
        <v>1</v>
      </c>
      <c r="C13" s="32" t="s">
        <v>64</v>
      </c>
      <c r="D13" s="24">
        <f>SUM(D14:D18)</f>
        <v>16680000</v>
      </c>
      <c r="E13" s="24">
        <f>SUM(E14:E18)</f>
        <v>16680000</v>
      </c>
      <c r="F13" s="24">
        <f>SUM(F14:F18)</f>
        <v>9755874</v>
      </c>
      <c r="G13" s="26"/>
      <c r="H13" s="26"/>
      <c r="I13" s="26"/>
      <c r="J13" s="26"/>
      <c r="K13" s="26"/>
      <c r="L13" s="26"/>
    </row>
    <row r="14" spans="1:12" s="27" customFormat="1" ht="13.5" customHeight="1">
      <c r="A14" s="423" t="s">
        <v>65</v>
      </c>
      <c r="B14" s="424" t="s">
        <v>66</v>
      </c>
      <c r="C14" s="25" t="s">
        <v>67</v>
      </c>
      <c r="D14" s="425">
        <f>'7.a.mell'!D14</f>
        <v>0</v>
      </c>
      <c r="E14" s="425">
        <f>'7.a.mell'!E14</f>
        <v>0</v>
      </c>
      <c r="F14" s="425">
        <f>'7.a.mell'!F14</f>
        <v>0</v>
      </c>
      <c r="G14" s="26"/>
      <c r="H14" s="26"/>
      <c r="I14" s="26"/>
      <c r="J14" s="26"/>
      <c r="K14" s="26"/>
      <c r="L14" s="26"/>
    </row>
    <row r="15" spans="1:12" s="27" customFormat="1" ht="13.5" customHeight="1">
      <c r="A15" s="371" t="s">
        <v>68</v>
      </c>
      <c r="B15" s="426" t="s">
        <v>69</v>
      </c>
      <c r="C15" s="28" t="s">
        <v>70</v>
      </c>
      <c r="D15" s="425">
        <f>'7.a.mell'!D15</f>
        <v>0</v>
      </c>
      <c r="E15" s="425">
        <f>'7.a.mell'!E15</f>
        <v>0</v>
      </c>
      <c r="F15" s="425">
        <f>'7.a.mell'!F15</f>
        <v>0</v>
      </c>
      <c r="G15" s="26"/>
      <c r="H15" s="26"/>
      <c r="I15" s="26"/>
      <c r="J15" s="26"/>
      <c r="K15" s="26"/>
      <c r="L15" s="26"/>
    </row>
    <row r="16" spans="1:12" s="27" customFormat="1" ht="13.5" customHeight="1">
      <c r="A16" s="371" t="s">
        <v>71</v>
      </c>
      <c r="B16" s="426" t="s">
        <v>72</v>
      </c>
      <c r="C16" s="28" t="s">
        <v>73</v>
      </c>
      <c r="D16" s="425">
        <f>'7.a.mell'!D16</f>
        <v>0</v>
      </c>
      <c r="E16" s="425">
        <f>'7.a.mell'!E16</f>
        <v>0</v>
      </c>
      <c r="F16" s="425">
        <f>'7.a.mell'!F16</f>
        <v>0</v>
      </c>
      <c r="G16" s="26"/>
      <c r="H16" s="26"/>
      <c r="I16" s="26"/>
      <c r="J16" s="26"/>
      <c r="K16" s="26"/>
      <c r="L16" s="26"/>
    </row>
    <row r="17" spans="1:12" s="27" customFormat="1" ht="13.5" customHeight="1">
      <c r="A17" s="371" t="s">
        <v>74</v>
      </c>
      <c r="B17" s="426" t="s">
        <v>75</v>
      </c>
      <c r="C17" s="28" t="s">
        <v>76</v>
      </c>
      <c r="D17" s="425">
        <f>'7.a.mell'!D17</f>
        <v>0</v>
      </c>
      <c r="E17" s="425">
        <f>'7.a.mell'!E17</f>
        <v>0</v>
      </c>
      <c r="F17" s="425">
        <f>'7.a.mell'!F17</f>
        <v>0</v>
      </c>
      <c r="G17" s="34"/>
      <c r="H17" s="34"/>
      <c r="I17" s="34"/>
      <c r="J17" s="34"/>
      <c r="K17" s="34"/>
      <c r="L17" s="34"/>
    </row>
    <row r="18" spans="1:12" s="27" customFormat="1" ht="13.5" customHeight="1">
      <c r="A18" s="371" t="s">
        <v>77</v>
      </c>
      <c r="B18" s="426" t="s">
        <v>78</v>
      </c>
      <c r="C18" s="28" t="s">
        <v>79</v>
      </c>
      <c r="D18" s="425">
        <f>'7.a.mell'!D18</f>
        <v>16680000</v>
      </c>
      <c r="E18" s="425">
        <f>'7.a.mell'!E18</f>
        <v>16680000</v>
      </c>
      <c r="F18" s="425">
        <f>'7.a.mell'!F18</f>
        <v>9755874</v>
      </c>
      <c r="G18" s="34"/>
      <c r="H18" s="33"/>
      <c r="I18" s="34"/>
      <c r="J18" s="34"/>
      <c r="K18" s="34"/>
      <c r="L18" s="34"/>
    </row>
    <row r="19" spans="1:12" s="30" customFormat="1" ht="13.5" customHeight="1" thickBot="1">
      <c r="A19" s="427" t="s">
        <v>77</v>
      </c>
      <c r="B19" s="428" t="s">
        <v>80</v>
      </c>
      <c r="C19" s="31" t="s">
        <v>81</v>
      </c>
      <c r="D19" s="425">
        <f>'7.a.mell'!D19</f>
        <v>0</v>
      </c>
      <c r="E19" s="425">
        <f>'7.a.mell'!E19</f>
        <v>0</v>
      </c>
      <c r="F19" s="425">
        <f>'7.a.mell'!F19</f>
        <v>0</v>
      </c>
      <c r="G19" s="34"/>
      <c r="H19" s="34"/>
      <c r="I19" s="34"/>
      <c r="J19" s="34"/>
      <c r="K19" s="34"/>
      <c r="L19" s="33"/>
    </row>
    <row r="20" spans="1:12" s="30" customFormat="1" ht="13.5" customHeight="1" thickBot="1">
      <c r="A20" s="21" t="s">
        <v>82</v>
      </c>
      <c r="B20" s="22" t="s">
        <v>2</v>
      </c>
      <c r="C20" s="23" t="s">
        <v>83</v>
      </c>
      <c r="D20" s="24">
        <f>SUM(D21:D25)</f>
        <v>74900000</v>
      </c>
      <c r="E20" s="24">
        <f>SUM(E21:E25)</f>
        <v>74900000</v>
      </c>
      <c r="F20" s="24">
        <f>SUM(F21:F25)</f>
        <v>0</v>
      </c>
      <c r="G20" s="34"/>
      <c r="H20" s="34"/>
      <c r="I20" s="34"/>
      <c r="J20" s="34"/>
      <c r="K20" s="34"/>
      <c r="L20" s="34"/>
    </row>
    <row r="21" spans="1:12" s="30" customFormat="1" ht="13.5" customHeight="1">
      <c r="A21" s="423" t="s">
        <v>84</v>
      </c>
      <c r="B21" s="424" t="s">
        <v>85</v>
      </c>
      <c r="C21" s="25" t="s">
        <v>86</v>
      </c>
      <c r="D21" s="425">
        <f>'7.a.mell'!D21</f>
        <v>0</v>
      </c>
      <c r="E21" s="425">
        <f>'7.a.mell'!E21</f>
        <v>0</v>
      </c>
      <c r="F21" s="425">
        <f>'7.a.mell'!F21</f>
        <v>0</v>
      </c>
      <c r="G21" s="34"/>
      <c r="H21" s="33"/>
      <c r="I21" s="34"/>
      <c r="J21" s="34"/>
      <c r="K21" s="34"/>
      <c r="L21" s="34"/>
    </row>
    <row r="22" spans="1:12" s="27" customFormat="1" ht="13.5" customHeight="1">
      <c r="A22" s="371" t="s">
        <v>87</v>
      </c>
      <c r="B22" s="426" t="s">
        <v>88</v>
      </c>
      <c r="C22" s="28" t="s">
        <v>89</v>
      </c>
      <c r="D22" s="425">
        <f>'7.a.mell'!D22</f>
        <v>0</v>
      </c>
      <c r="E22" s="425">
        <f>'7.a.mell'!E22</f>
        <v>0</v>
      </c>
      <c r="F22" s="425">
        <f>'7.a.mell'!F22</f>
        <v>0</v>
      </c>
      <c r="G22" s="26"/>
      <c r="H22" s="26"/>
      <c r="I22" s="26"/>
      <c r="J22" s="26"/>
      <c r="K22" s="26"/>
      <c r="L22" s="26"/>
    </row>
    <row r="23" spans="1:12" s="30" customFormat="1" ht="13.5" customHeight="1">
      <c r="A23" s="371" t="s">
        <v>90</v>
      </c>
      <c r="B23" s="426" t="s">
        <v>91</v>
      </c>
      <c r="C23" s="28" t="s">
        <v>92</v>
      </c>
      <c r="D23" s="425">
        <f>'7.a.mell'!D23</f>
        <v>0</v>
      </c>
      <c r="E23" s="425">
        <f>'7.a.mell'!E23</f>
        <v>0</v>
      </c>
      <c r="F23" s="425">
        <f>'7.a.mell'!F23</f>
        <v>0</v>
      </c>
      <c r="G23" s="29"/>
      <c r="H23" s="29"/>
      <c r="I23" s="29"/>
      <c r="J23" s="29"/>
      <c r="K23" s="29"/>
      <c r="L23" s="29"/>
    </row>
    <row r="24" spans="1:12" s="30" customFormat="1" ht="13.5" customHeight="1">
      <c r="A24" s="371" t="s">
        <v>93</v>
      </c>
      <c r="B24" s="426" t="s">
        <v>94</v>
      </c>
      <c r="C24" s="28" t="s">
        <v>95</v>
      </c>
      <c r="D24" s="425">
        <f>'7.a.mell'!D24</f>
        <v>0</v>
      </c>
      <c r="E24" s="425">
        <f>'7.a.mell'!E24</f>
        <v>0</v>
      </c>
      <c r="F24" s="425">
        <f>'7.a.mell'!F24</f>
        <v>0</v>
      </c>
      <c r="G24" s="29"/>
      <c r="H24" s="29"/>
      <c r="I24" s="29"/>
      <c r="J24" s="29"/>
      <c r="K24" s="29"/>
      <c r="L24" s="29"/>
    </row>
    <row r="25" spans="1:12" s="30" customFormat="1" ht="13.5" customHeight="1">
      <c r="A25" s="371" t="s">
        <v>96</v>
      </c>
      <c r="B25" s="426" t="s">
        <v>97</v>
      </c>
      <c r="C25" s="28" t="s">
        <v>98</v>
      </c>
      <c r="D25" s="425">
        <f>'7.a.mell'!D25</f>
        <v>74900000</v>
      </c>
      <c r="E25" s="425">
        <f>'7.a.mell'!E25</f>
        <v>74900000</v>
      </c>
      <c r="F25" s="425">
        <f>'7.a.mell'!F25</f>
        <v>0</v>
      </c>
      <c r="G25" s="29"/>
      <c r="H25" s="29"/>
      <c r="I25" s="29"/>
      <c r="J25" s="29"/>
      <c r="K25" s="29"/>
      <c r="L25" s="29"/>
    </row>
    <row r="26" spans="1:12" s="30" customFormat="1" ht="13.5" customHeight="1" thickBot="1">
      <c r="A26" s="427" t="s">
        <v>96</v>
      </c>
      <c r="B26" s="428" t="s">
        <v>99</v>
      </c>
      <c r="C26" s="31" t="s">
        <v>100</v>
      </c>
      <c r="D26" s="425">
        <f>'7.a.mell'!D26</f>
        <v>0</v>
      </c>
      <c r="E26" s="425">
        <f>'7.a.mell'!E26</f>
        <v>0</v>
      </c>
      <c r="F26" s="425">
        <f>'7.a.mell'!F26</f>
        <v>0</v>
      </c>
      <c r="G26" s="29"/>
      <c r="H26" s="29"/>
      <c r="I26" s="29"/>
      <c r="J26" s="29"/>
      <c r="K26" s="29"/>
      <c r="L26" s="29"/>
    </row>
    <row r="27" spans="1:12" s="30" customFormat="1" ht="13.5" customHeight="1" thickBot="1">
      <c r="A27" s="21" t="s">
        <v>101</v>
      </c>
      <c r="B27" s="22" t="s">
        <v>102</v>
      </c>
      <c r="C27" s="23" t="s">
        <v>103</v>
      </c>
      <c r="D27" s="35">
        <f>SUM(D28:D34)</f>
        <v>520500000</v>
      </c>
      <c r="E27" s="35">
        <f>SUM(E28:E34)</f>
        <v>499100000</v>
      </c>
      <c r="F27" s="35">
        <f>SUM(F28:F34)</f>
        <v>269470527</v>
      </c>
      <c r="G27" s="29"/>
      <c r="H27" s="29"/>
      <c r="I27" s="29"/>
      <c r="J27" s="29"/>
      <c r="K27" s="29"/>
      <c r="L27" s="29"/>
    </row>
    <row r="28" spans="1:12" s="30" customFormat="1" ht="13.5" customHeight="1">
      <c r="A28" s="423" t="s">
        <v>104</v>
      </c>
      <c r="B28" s="424" t="s">
        <v>105</v>
      </c>
      <c r="C28" s="25" t="s">
        <v>106</v>
      </c>
      <c r="D28" s="429">
        <f>+'7.a.mell'!D28</f>
        <v>32400000</v>
      </c>
      <c r="E28" s="429">
        <f>+'7.a.mell'!E28</f>
        <v>32400000</v>
      </c>
      <c r="F28" s="429">
        <f>+'7.a.mell'!F28</f>
        <v>18355563</v>
      </c>
      <c r="G28" s="29"/>
      <c r="H28" s="29"/>
      <c r="I28" s="29"/>
      <c r="J28" s="29"/>
      <c r="K28" s="29"/>
      <c r="L28" s="29"/>
    </row>
    <row r="29" spans="1:12" s="30" customFormat="1" ht="13.5" customHeight="1">
      <c r="A29" s="371" t="s">
        <v>104</v>
      </c>
      <c r="B29" s="426" t="s">
        <v>107</v>
      </c>
      <c r="C29" s="28" t="s">
        <v>108</v>
      </c>
      <c r="D29" s="429">
        <f>+'7.a.mell'!D29</f>
        <v>31000000</v>
      </c>
      <c r="E29" s="429">
        <f>+'7.a.mell'!E29</f>
        <v>31000000</v>
      </c>
      <c r="F29" s="429">
        <f>+'7.a.mell'!F29</f>
        <v>16287144</v>
      </c>
      <c r="G29" s="29"/>
      <c r="H29" s="29"/>
      <c r="I29" s="29"/>
      <c r="J29" s="29"/>
      <c r="K29" s="29"/>
      <c r="L29" s="29"/>
    </row>
    <row r="30" spans="1:12" s="30" customFormat="1" ht="13.5" customHeight="1">
      <c r="A30" s="371" t="s">
        <v>104</v>
      </c>
      <c r="B30" s="426" t="s">
        <v>109</v>
      </c>
      <c r="C30" s="28" t="s">
        <v>110</v>
      </c>
      <c r="D30" s="429">
        <f>+'7.a.mell'!D30</f>
        <v>415000000</v>
      </c>
      <c r="E30" s="429">
        <f>+'7.a.mell'!E30</f>
        <v>415000000</v>
      </c>
      <c r="F30" s="429">
        <f>+'7.a.mell'!F30</f>
        <v>220389137</v>
      </c>
      <c r="G30" s="29"/>
      <c r="H30" s="29"/>
      <c r="I30" s="29"/>
      <c r="J30" s="29"/>
      <c r="K30" s="29"/>
      <c r="L30" s="29"/>
    </row>
    <row r="31" spans="1:12" s="30" customFormat="1" ht="13.5" customHeight="1">
      <c r="A31" s="371" t="s">
        <v>104</v>
      </c>
      <c r="B31" s="426" t="s">
        <v>111</v>
      </c>
      <c r="C31" s="28" t="s">
        <v>112</v>
      </c>
      <c r="D31" s="429">
        <f>+'7.a.mell'!D31</f>
        <v>2000000</v>
      </c>
      <c r="E31" s="429">
        <f>+'7.a.mell'!E31</f>
        <v>2000000</v>
      </c>
      <c r="F31" s="429">
        <f>+'7.a.mell'!F31</f>
        <v>686010</v>
      </c>
      <c r="G31" s="29"/>
      <c r="H31" s="29"/>
      <c r="I31" s="29"/>
      <c r="J31" s="29"/>
      <c r="K31" s="29"/>
      <c r="L31" s="29"/>
    </row>
    <row r="32" spans="1:12" s="30" customFormat="1" ht="13.5" customHeight="1">
      <c r="A32" s="371" t="s">
        <v>104</v>
      </c>
      <c r="B32" s="426" t="s">
        <v>114</v>
      </c>
      <c r="C32" s="28" t="s">
        <v>1032</v>
      </c>
      <c r="D32" s="429">
        <f>+'7.a.mell'!D32</f>
        <v>18200000</v>
      </c>
      <c r="E32" s="429">
        <f>+'7.a.mell'!E32</f>
        <v>18200000</v>
      </c>
      <c r="F32" s="429">
        <f>+'7.a.mell'!F32</f>
        <v>13210152</v>
      </c>
      <c r="G32" s="29"/>
      <c r="H32" s="29"/>
      <c r="I32" s="29"/>
      <c r="J32" s="29"/>
      <c r="K32" s="29"/>
      <c r="L32" s="29"/>
    </row>
    <row r="33" spans="1:12" s="30" customFormat="1" ht="13.5" customHeight="1">
      <c r="A33" s="371" t="s">
        <v>113</v>
      </c>
      <c r="B33" s="426" t="s">
        <v>117</v>
      </c>
      <c r="C33" s="28" t="s">
        <v>115</v>
      </c>
      <c r="D33" s="429">
        <f>+'7.a.mell'!D33</f>
        <v>21400000</v>
      </c>
      <c r="E33" s="429">
        <f>+'7.a.mell'!E33</f>
        <v>0</v>
      </c>
      <c r="F33" s="429">
        <f>+'7.a.mell'!F33</f>
        <v>0</v>
      </c>
      <c r="G33" s="29"/>
      <c r="H33" s="29"/>
      <c r="I33" s="29"/>
      <c r="J33" s="29"/>
      <c r="K33" s="29"/>
      <c r="L33" s="29"/>
    </row>
    <row r="34" spans="1:12" s="30" customFormat="1" ht="15" customHeight="1">
      <c r="A34" s="371" t="s">
        <v>118</v>
      </c>
      <c r="B34" s="426" t="s">
        <v>119</v>
      </c>
      <c r="C34" s="28" t="s">
        <v>120</v>
      </c>
      <c r="D34" s="429">
        <f>+'7.a.mell'!D34</f>
        <v>500000</v>
      </c>
      <c r="E34" s="429">
        <f>+'7.a.mell'!E34</f>
        <v>500000</v>
      </c>
      <c r="F34" s="429">
        <f>+'7.a.mell'!F34</f>
        <v>542521</v>
      </c>
      <c r="G34" s="29"/>
      <c r="H34" s="29"/>
      <c r="I34" s="29"/>
      <c r="J34" s="29"/>
      <c r="K34" s="29"/>
      <c r="L34" s="29"/>
    </row>
    <row r="35" spans="1:6" s="40" customFormat="1" ht="13.5" customHeight="1">
      <c r="A35" s="36" t="s">
        <v>121</v>
      </c>
      <c r="B35" s="37" t="s">
        <v>122</v>
      </c>
      <c r="C35" s="38" t="s">
        <v>123</v>
      </c>
      <c r="D35" s="429">
        <f>+'7.a.mell'!D35</f>
        <v>250000</v>
      </c>
      <c r="E35" s="429">
        <f>+'7.a.mell'!E35</f>
        <v>250000</v>
      </c>
      <c r="F35" s="429">
        <f>+'7.a.mell'!F35</f>
        <v>542521</v>
      </c>
    </row>
    <row r="36" spans="1:6" s="40" customFormat="1" ht="13.5" customHeight="1" thickBot="1">
      <c r="A36" s="36" t="s">
        <v>121</v>
      </c>
      <c r="B36" s="37" t="s">
        <v>124</v>
      </c>
      <c r="C36" s="38" t="s">
        <v>125</v>
      </c>
      <c r="D36" s="429">
        <f>+'7.a.mell'!D36</f>
        <v>250000</v>
      </c>
      <c r="E36" s="429">
        <f>+'7.a.mell'!E36</f>
        <v>250000</v>
      </c>
      <c r="F36" s="429">
        <f>+'7.a.mell'!F36</f>
        <v>0</v>
      </c>
    </row>
    <row r="37" spans="1:12" s="30" customFormat="1" ht="13.5" customHeight="1" thickBot="1">
      <c r="A37" s="21" t="s">
        <v>126</v>
      </c>
      <c r="B37" s="22" t="s">
        <v>4</v>
      </c>
      <c r="C37" s="23" t="s">
        <v>127</v>
      </c>
      <c r="D37" s="24">
        <f>SUM(D38:D48)</f>
        <v>126693305</v>
      </c>
      <c r="E37" s="24">
        <f>SUM(E38:E48)</f>
        <v>126693305</v>
      </c>
      <c r="F37" s="24">
        <f>SUM(F38:F48)</f>
        <v>28605936</v>
      </c>
      <c r="G37" s="29"/>
      <c r="H37" s="29"/>
      <c r="I37" s="29"/>
      <c r="J37" s="29"/>
      <c r="K37" s="29"/>
      <c r="L37" s="29"/>
    </row>
    <row r="38" spans="1:12" s="30" customFormat="1" ht="13.5" customHeight="1">
      <c r="A38" s="423" t="s">
        <v>128</v>
      </c>
      <c r="B38" s="424" t="s">
        <v>129</v>
      </c>
      <c r="C38" s="25" t="s">
        <v>130</v>
      </c>
      <c r="D38" s="425">
        <f>+'5.mell'!K26</f>
        <v>0</v>
      </c>
      <c r="E38" s="425">
        <f>'7.a.mell'!E38</f>
        <v>0</v>
      </c>
      <c r="F38" s="425">
        <f>'7.a.mell'!F38</f>
        <v>134800</v>
      </c>
      <c r="G38" s="29"/>
      <c r="H38" s="29"/>
      <c r="I38" s="29"/>
      <c r="J38" s="29"/>
      <c r="K38" s="29"/>
      <c r="L38" s="29"/>
    </row>
    <row r="39" spans="1:12" s="30" customFormat="1" ht="13.5" customHeight="1">
      <c r="A39" s="371" t="s">
        <v>131</v>
      </c>
      <c r="B39" s="426" t="s">
        <v>132</v>
      </c>
      <c r="C39" s="28" t="s">
        <v>133</v>
      </c>
      <c r="D39" s="425">
        <f>+'5.mell'!K27</f>
        <v>22781986</v>
      </c>
      <c r="E39" s="425">
        <f>'5.mell'!L27</f>
        <v>22781986</v>
      </c>
      <c r="F39" s="425">
        <f>'5.mell'!M27</f>
        <v>8509606</v>
      </c>
      <c r="G39" s="29"/>
      <c r="H39" s="29"/>
      <c r="I39" s="29"/>
      <c r="J39" s="29"/>
      <c r="K39" s="29"/>
      <c r="L39" s="29"/>
    </row>
    <row r="40" spans="1:12" s="30" customFormat="1" ht="13.5" customHeight="1">
      <c r="A40" s="371" t="s">
        <v>134</v>
      </c>
      <c r="B40" s="426" t="s">
        <v>135</v>
      </c>
      <c r="C40" s="28" t="s">
        <v>136</v>
      </c>
      <c r="D40" s="425">
        <f>+'5.mell'!K28</f>
        <v>19670000</v>
      </c>
      <c r="E40" s="425">
        <f>'5.mell'!L28</f>
        <v>19670000</v>
      </c>
      <c r="F40" s="425">
        <f>'5.mell'!M28</f>
        <v>1219641</v>
      </c>
      <c r="G40" s="29"/>
      <c r="H40" s="29"/>
      <c r="I40" s="29"/>
      <c r="J40" s="29"/>
      <c r="K40" s="29"/>
      <c r="L40" s="29"/>
    </row>
    <row r="41" spans="1:12" s="30" customFormat="1" ht="13.5" customHeight="1">
      <c r="A41" s="371" t="s">
        <v>137</v>
      </c>
      <c r="B41" s="426" t="s">
        <v>138</v>
      </c>
      <c r="C41" s="28" t="s">
        <v>139</v>
      </c>
      <c r="D41" s="425">
        <f>+'5.mell'!K29</f>
        <v>6000000</v>
      </c>
      <c r="E41" s="425">
        <f>'5.mell'!L29</f>
        <v>6000000</v>
      </c>
      <c r="F41" s="425">
        <f>'5.mell'!M29</f>
        <v>0</v>
      </c>
      <c r="G41" s="41"/>
      <c r="H41" s="41"/>
      <c r="I41" s="29"/>
      <c r="J41" s="29"/>
      <c r="K41" s="29"/>
      <c r="L41" s="29"/>
    </row>
    <row r="42" spans="1:12" s="30" customFormat="1" ht="13.5" customHeight="1">
      <c r="A42" s="371" t="s">
        <v>140</v>
      </c>
      <c r="B42" s="426" t="s">
        <v>141</v>
      </c>
      <c r="C42" s="28" t="s">
        <v>142</v>
      </c>
      <c r="D42" s="425">
        <f>+'5.mell'!K31</f>
        <v>39421842</v>
      </c>
      <c r="E42" s="425">
        <f>'5.mell'!L31</f>
        <v>39421842</v>
      </c>
      <c r="F42" s="425">
        <f>'5.mell'!M31</f>
        <v>12008005</v>
      </c>
      <c r="G42" s="41"/>
      <c r="H42" s="41"/>
      <c r="I42" s="29"/>
      <c r="J42" s="29"/>
      <c r="K42" s="29"/>
      <c r="L42" s="29"/>
    </row>
    <row r="43" spans="1:12" s="30" customFormat="1" ht="13.5" customHeight="1">
      <c r="A43" s="371" t="s">
        <v>143</v>
      </c>
      <c r="B43" s="426" t="s">
        <v>144</v>
      </c>
      <c r="C43" s="28" t="s">
        <v>145</v>
      </c>
      <c r="D43" s="425">
        <f>+'5.mell'!K32</f>
        <v>38819477</v>
      </c>
      <c r="E43" s="425">
        <f>'5.mell'!L32</f>
        <v>38819477</v>
      </c>
      <c r="F43" s="425">
        <f>'5.mell'!M32</f>
        <v>5205646</v>
      </c>
      <c r="G43" s="41"/>
      <c r="H43" s="41"/>
      <c r="I43" s="29"/>
      <c r="J43" s="29"/>
      <c r="K43" s="29"/>
      <c r="L43" s="29"/>
    </row>
    <row r="44" spans="1:12" s="30" customFormat="1" ht="13.5" customHeight="1">
      <c r="A44" s="371" t="s">
        <v>146</v>
      </c>
      <c r="B44" s="426" t="s">
        <v>147</v>
      </c>
      <c r="C44" s="28" t="s">
        <v>148</v>
      </c>
      <c r="D44" s="425">
        <v>0</v>
      </c>
      <c r="E44" s="425">
        <v>0</v>
      </c>
      <c r="F44" s="425">
        <v>0</v>
      </c>
      <c r="G44" s="41"/>
      <c r="H44" s="41"/>
      <c r="I44" s="29"/>
      <c r="J44" s="29"/>
      <c r="K44" s="29"/>
      <c r="L44" s="29"/>
    </row>
    <row r="45" spans="1:12" s="30" customFormat="1" ht="13.5" customHeight="1">
      <c r="A45" s="371" t="s">
        <v>149</v>
      </c>
      <c r="B45" s="426" t="s">
        <v>150</v>
      </c>
      <c r="C45" s="28" t="s">
        <v>151</v>
      </c>
      <c r="D45" s="425">
        <f>+'5.mell'!K33</f>
        <v>0</v>
      </c>
      <c r="E45" s="425">
        <f>'7.a.mell'!E45</f>
        <v>0</v>
      </c>
      <c r="F45" s="425">
        <f>'7.a.mell'!F45</f>
        <v>0</v>
      </c>
      <c r="G45" s="41"/>
      <c r="H45" s="41"/>
      <c r="I45" s="29"/>
      <c r="J45" s="29"/>
      <c r="K45" s="29"/>
      <c r="L45" s="29"/>
    </row>
    <row r="46" spans="1:12" s="30" customFormat="1" ht="13.5" customHeight="1">
      <c r="A46" s="371" t="s">
        <v>152</v>
      </c>
      <c r="B46" s="426" t="s">
        <v>153</v>
      </c>
      <c r="C46" s="28" t="s">
        <v>154</v>
      </c>
      <c r="D46" s="425">
        <f>+'5.mell'!K34</f>
        <v>0</v>
      </c>
      <c r="E46" s="425">
        <f>'7.a.mell'!E46</f>
        <v>0</v>
      </c>
      <c r="F46" s="425">
        <f>'7.a.mell'!F46</f>
        <v>346</v>
      </c>
      <c r="G46" s="41"/>
      <c r="H46" s="43"/>
      <c r="I46" s="29"/>
      <c r="J46" s="29"/>
      <c r="K46" s="29"/>
      <c r="L46" s="29"/>
    </row>
    <row r="47" spans="1:12" s="30" customFormat="1" ht="13.5" customHeight="1">
      <c r="A47" s="371" t="s">
        <v>155</v>
      </c>
      <c r="B47" s="428" t="s">
        <v>156</v>
      </c>
      <c r="C47" s="31" t="s">
        <v>157</v>
      </c>
      <c r="D47" s="425">
        <f>+'5.mell'!K34</f>
        <v>0</v>
      </c>
      <c r="E47" s="425">
        <f>+'5.mell'!L34</f>
        <v>0</v>
      </c>
      <c r="F47" s="425">
        <f>+'5.mell'!M34-F48</f>
        <v>619023</v>
      </c>
      <c r="G47" s="29"/>
      <c r="H47" s="29"/>
      <c r="I47" s="29"/>
      <c r="J47" s="29"/>
      <c r="K47" s="29"/>
      <c r="L47" s="29"/>
    </row>
    <row r="48" spans="1:12" s="30" customFormat="1" ht="13.5" customHeight="1" thickBot="1">
      <c r="A48" s="427" t="s">
        <v>1093</v>
      </c>
      <c r="B48" s="428" t="s">
        <v>158</v>
      </c>
      <c r="C48" s="31" t="s">
        <v>159</v>
      </c>
      <c r="D48" s="425">
        <f>+'5.mell'!K37</f>
        <v>0</v>
      </c>
      <c r="E48" s="425">
        <f>'7.a.mell'!E48</f>
        <v>0</v>
      </c>
      <c r="F48" s="425">
        <f>'7.a.mell'!F48</f>
        <v>908869</v>
      </c>
      <c r="G48" s="29"/>
      <c r="H48" s="29"/>
      <c r="I48" s="29"/>
      <c r="J48" s="29"/>
      <c r="K48" s="29"/>
      <c r="L48" s="29"/>
    </row>
    <row r="49" spans="1:12" s="30" customFormat="1" ht="13.5" customHeight="1" thickBot="1">
      <c r="A49" s="21" t="s">
        <v>160</v>
      </c>
      <c r="B49" s="22" t="s">
        <v>5</v>
      </c>
      <c r="C49" s="23" t="s">
        <v>161</v>
      </c>
      <c r="D49" s="24">
        <f>SUM(D50:D54)</f>
        <v>50000000</v>
      </c>
      <c r="E49" s="24">
        <f>SUM(E50:E54)</f>
        <v>50000000</v>
      </c>
      <c r="F49" s="24">
        <f>SUM(F50:F54)</f>
        <v>57480</v>
      </c>
      <c r="G49" s="29"/>
      <c r="H49" s="29"/>
      <c r="I49" s="29"/>
      <c r="J49" s="29"/>
      <c r="K49" s="29"/>
      <c r="L49" s="29"/>
    </row>
    <row r="50" spans="1:12" s="30" customFormat="1" ht="13.5" customHeight="1">
      <c r="A50" s="423" t="s">
        <v>162</v>
      </c>
      <c r="B50" s="424" t="s">
        <v>163</v>
      </c>
      <c r="C50" s="25" t="s">
        <v>164</v>
      </c>
      <c r="D50" s="45">
        <f>'7.a.mell'!D50</f>
        <v>0</v>
      </c>
      <c r="E50" s="45">
        <f>'7.a.mell'!E50</f>
        <v>0</v>
      </c>
      <c r="F50" s="45">
        <f>'7.a.mell'!F50</f>
        <v>0</v>
      </c>
      <c r="G50" s="29"/>
      <c r="H50" s="29"/>
      <c r="I50" s="29"/>
      <c r="J50" s="29"/>
      <c r="K50" s="29"/>
      <c r="L50" s="29"/>
    </row>
    <row r="51" spans="1:12" s="30" customFormat="1" ht="13.5" customHeight="1">
      <c r="A51" s="371" t="s">
        <v>165</v>
      </c>
      <c r="B51" s="426" t="s">
        <v>166</v>
      </c>
      <c r="C51" s="28" t="s">
        <v>167</v>
      </c>
      <c r="D51" s="45">
        <f>+'5.mell'!K36</f>
        <v>50000000</v>
      </c>
      <c r="E51" s="45">
        <f>+'5.mell'!L36</f>
        <v>50000000</v>
      </c>
      <c r="F51" s="45">
        <f>+'5.mell'!M36</f>
        <v>57480</v>
      </c>
      <c r="G51" s="29"/>
      <c r="H51" s="29"/>
      <c r="I51" s="29"/>
      <c r="J51" s="29"/>
      <c r="K51" s="29"/>
      <c r="L51" s="29"/>
    </row>
    <row r="52" spans="1:12" s="30" customFormat="1" ht="13.5" customHeight="1">
      <c r="A52" s="371" t="s">
        <v>168</v>
      </c>
      <c r="B52" s="426" t="s">
        <v>169</v>
      </c>
      <c r="C52" s="28" t="s">
        <v>170</v>
      </c>
      <c r="D52" s="45">
        <f>'7.a.mell'!D52</f>
        <v>0</v>
      </c>
      <c r="E52" s="45">
        <f>'7.a.mell'!E52</f>
        <v>0</v>
      </c>
      <c r="F52" s="45">
        <f>'7.a.mell'!F52</f>
        <v>0</v>
      </c>
      <c r="G52" s="29"/>
      <c r="H52" s="29"/>
      <c r="I52" s="29"/>
      <c r="J52" s="29"/>
      <c r="K52" s="29"/>
      <c r="L52" s="29"/>
    </row>
    <row r="53" spans="1:12" s="30" customFormat="1" ht="13.5" customHeight="1">
      <c r="A53" s="371" t="s">
        <v>171</v>
      </c>
      <c r="B53" s="426" t="s">
        <v>172</v>
      </c>
      <c r="C53" s="28" t="s">
        <v>173</v>
      </c>
      <c r="D53" s="45">
        <f>'7.a.mell'!D53</f>
        <v>0</v>
      </c>
      <c r="E53" s="45">
        <f>'7.a.mell'!E53</f>
        <v>0</v>
      </c>
      <c r="F53" s="45">
        <f>'7.a.mell'!F53</f>
        <v>0</v>
      </c>
      <c r="G53" s="29"/>
      <c r="H53" s="29"/>
      <c r="I53" s="29"/>
      <c r="J53" s="29"/>
      <c r="K53" s="29"/>
      <c r="L53" s="29"/>
    </row>
    <row r="54" spans="1:12" s="30" customFormat="1" ht="13.5" customHeight="1" thickBot="1">
      <c r="A54" s="46" t="s">
        <v>174</v>
      </c>
      <c r="B54" s="428" t="s">
        <v>175</v>
      </c>
      <c r="C54" s="31" t="s">
        <v>176</v>
      </c>
      <c r="D54" s="45">
        <f>'7.a.mell'!D54</f>
        <v>0</v>
      </c>
      <c r="E54" s="45">
        <f>'7.a.mell'!E54</f>
        <v>0</v>
      </c>
      <c r="F54" s="45">
        <f>'7.a.mell'!F54</f>
        <v>0</v>
      </c>
      <c r="G54" s="29"/>
      <c r="H54" s="29"/>
      <c r="I54" s="29"/>
      <c r="J54" s="29"/>
      <c r="K54" s="29"/>
      <c r="L54" s="29"/>
    </row>
    <row r="55" spans="1:12" s="30" customFormat="1" ht="13.5" customHeight="1" thickBot="1">
      <c r="A55" s="21" t="s">
        <v>177</v>
      </c>
      <c r="B55" s="22" t="s">
        <v>178</v>
      </c>
      <c r="C55" s="23" t="s">
        <v>179</v>
      </c>
      <c r="D55" s="24">
        <f>SUM(D56:D58)</f>
        <v>0</v>
      </c>
      <c r="E55" s="24">
        <f>SUM(E56:E58)</f>
        <v>0</v>
      </c>
      <c r="F55" s="24">
        <f>SUM(F56:F58)</f>
        <v>1000000</v>
      </c>
      <c r="G55" s="29"/>
      <c r="H55" s="29"/>
      <c r="I55" s="29"/>
      <c r="J55" s="29"/>
      <c r="K55" s="29"/>
      <c r="L55" s="29"/>
    </row>
    <row r="56" spans="1:12" s="30" customFormat="1" ht="13.5" customHeight="1">
      <c r="A56" s="423" t="s">
        <v>180</v>
      </c>
      <c r="B56" s="424" t="s">
        <v>181</v>
      </c>
      <c r="C56" s="25" t="s">
        <v>182</v>
      </c>
      <c r="D56" s="425"/>
      <c r="E56" s="425"/>
      <c r="F56" s="425"/>
      <c r="G56" s="29"/>
      <c r="H56" s="29"/>
      <c r="I56" s="29"/>
      <c r="J56" s="29"/>
      <c r="K56" s="29"/>
      <c r="L56" s="29"/>
    </row>
    <row r="57" spans="1:12" s="30" customFormat="1" ht="13.5" customHeight="1">
      <c r="A57" s="371" t="s">
        <v>183</v>
      </c>
      <c r="B57" s="426" t="s">
        <v>184</v>
      </c>
      <c r="C57" s="28" t="s">
        <v>185</v>
      </c>
      <c r="D57" s="430"/>
      <c r="E57" s="430"/>
      <c r="F57" s="430"/>
      <c r="G57" s="29"/>
      <c r="H57" s="29"/>
      <c r="I57" s="29"/>
      <c r="J57" s="29"/>
      <c r="K57" s="29"/>
      <c r="L57" s="29"/>
    </row>
    <row r="58" spans="1:12" s="30" customFormat="1" ht="13.5" customHeight="1">
      <c r="A58" s="371" t="s">
        <v>186</v>
      </c>
      <c r="B58" s="426" t="s">
        <v>187</v>
      </c>
      <c r="C58" s="28" t="s">
        <v>188</v>
      </c>
      <c r="D58" s="430">
        <f>+'5.mell'!K37</f>
        <v>0</v>
      </c>
      <c r="E58" s="430">
        <f>+'5.mell'!L37</f>
        <v>0</v>
      </c>
      <c r="F58" s="430">
        <f>+'5.mell'!M37</f>
        <v>1000000</v>
      </c>
      <c r="G58" s="29"/>
      <c r="H58" s="29"/>
      <c r="I58" s="29"/>
      <c r="J58" s="29"/>
      <c r="K58" s="29"/>
      <c r="L58" s="29"/>
    </row>
    <row r="59" spans="1:12" s="30" customFormat="1" ht="13.5" customHeight="1" thickBot="1">
      <c r="A59" s="427" t="s">
        <v>186</v>
      </c>
      <c r="B59" s="428"/>
      <c r="C59" s="31" t="s">
        <v>189</v>
      </c>
      <c r="D59" s="431"/>
      <c r="E59" s="431"/>
      <c r="F59" s="431"/>
      <c r="G59" s="29"/>
      <c r="H59" s="29"/>
      <c r="I59" s="29"/>
      <c r="J59" s="29"/>
      <c r="K59" s="29"/>
      <c r="L59" s="29"/>
    </row>
    <row r="60" spans="1:12" s="30" customFormat="1" ht="13.5" customHeight="1" thickBot="1">
      <c r="A60" s="21" t="s">
        <v>190</v>
      </c>
      <c r="B60" s="22" t="s">
        <v>7</v>
      </c>
      <c r="C60" s="32" t="s">
        <v>191</v>
      </c>
      <c r="D60" s="24">
        <f>SUM(D61:D63)</f>
        <v>0</v>
      </c>
      <c r="E60" s="24">
        <f>SUM(E61:E63)</f>
        <v>0</v>
      </c>
      <c r="F60" s="24">
        <f>SUM(F61:F63)</f>
        <v>0</v>
      </c>
      <c r="G60" s="29"/>
      <c r="H60" s="29"/>
      <c r="I60" s="29"/>
      <c r="J60" s="29"/>
      <c r="K60" s="29"/>
      <c r="L60" s="29"/>
    </row>
    <row r="61" spans="1:12" s="30" customFormat="1" ht="13.5" customHeight="1">
      <c r="A61" s="423" t="s">
        <v>192</v>
      </c>
      <c r="B61" s="424" t="s">
        <v>193</v>
      </c>
      <c r="C61" s="25" t="s">
        <v>194</v>
      </c>
      <c r="D61" s="42">
        <f>'7.a.mell'!D61</f>
        <v>0</v>
      </c>
      <c r="E61" s="42">
        <f>'7.a.mell'!E61</f>
        <v>0</v>
      </c>
      <c r="F61" s="42">
        <f>'7.a.mell'!F61</f>
        <v>0</v>
      </c>
      <c r="G61" s="29"/>
      <c r="H61" s="29"/>
      <c r="I61" s="29"/>
      <c r="J61" s="29"/>
      <c r="K61" s="29"/>
      <c r="L61" s="29"/>
    </row>
    <row r="62" spans="1:12" s="30" customFormat="1" ht="13.5" customHeight="1">
      <c r="A62" s="371" t="s">
        <v>195</v>
      </c>
      <c r="B62" s="426" t="s">
        <v>196</v>
      </c>
      <c r="C62" s="28" t="s">
        <v>197</v>
      </c>
      <c r="D62" s="42">
        <f>'7.a.mell'!D62</f>
        <v>0</v>
      </c>
      <c r="E62" s="42">
        <f>'7.a.mell'!E62</f>
        <v>0</v>
      </c>
      <c r="F62" s="42">
        <f>'7.a.mell'!F62</f>
        <v>0</v>
      </c>
      <c r="G62" s="29"/>
      <c r="H62" s="29"/>
      <c r="I62" s="29"/>
      <c r="J62" s="29"/>
      <c r="K62" s="29"/>
      <c r="L62" s="29"/>
    </row>
    <row r="63" spans="1:12" s="30" customFormat="1" ht="13.5" customHeight="1">
      <c r="A63" s="371" t="s">
        <v>198</v>
      </c>
      <c r="B63" s="426" t="s">
        <v>199</v>
      </c>
      <c r="C63" s="28" t="s">
        <v>200</v>
      </c>
      <c r="D63" s="42">
        <f>'7.a.mell'!D63</f>
        <v>0</v>
      </c>
      <c r="E63" s="42">
        <f>'7.a.mell'!E63</f>
        <v>0</v>
      </c>
      <c r="F63" s="42">
        <f>'7.a.mell'!F63</f>
        <v>0</v>
      </c>
      <c r="G63" s="29"/>
      <c r="H63" s="29"/>
      <c r="I63" s="29"/>
      <c r="J63" s="29"/>
      <c r="K63" s="29"/>
      <c r="L63" s="29"/>
    </row>
    <row r="64" spans="1:12" s="30" customFormat="1" ht="13.5" customHeight="1" thickBot="1">
      <c r="A64" s="427" t="s">
        <v>198</v>
      </c>
      <c r="B64" s="428" t="s">
        <v>201</v>
      </c>
      <c r="C64" s="31" t="s">
        <v>202</v>
      </c>
      <c r="D64" s="42">
        <f>'7.a.mell'!D64</f>
        <v>0</v>
      </c>
      <c r="E64" s="42">
        <f>'7.a.mell'!E64</f>
        <v>0</v>
      </c>
      <c r="F64" s="42">
        <f>'7.a.mell'!F64</f>
        <v>0</v>
      </c>
      <c r="G64" s="29"/>
      <c r="H64" s="29"/>
      <c r="I64" s="29"/>
      <c r="J64" s="29"/>
      <c r="K64" s="29"/>
      <c r="L64" s="29"/>
    </row>
    <row r="65" spans="1:12" s="30" customFormat="1" ht="13.5" customHeight="1" thickBot="1">
      <c r="A65" s="21" t="s">
        <v>203</v>
      </c>
      <c r="B65" s="22" t="s">
        <v>204</v>
      </c>
      <c r="C65" s="23" t="s">
        <v>205</v>
      </c>
      <c r="D65" s="35">
        <f>D6+D13+D20+D27+D37+D49+D55+D60</f>
        <v>1012954105</v>
      </c>
      <c r="E65" s="35">
        <f>E6+E13+E20+E27+E37+E49+E55+E60</f>
        <v>994980020</v>
      </c>
      <c r="F65" s="35">
        <f>F6+F13+F20+F27+F37+F49+F55+F60</f>
        <v>436411551</v>
      </c>
      <c r="G65" s="29"/>
      <c r="H65" s="29"/>
      <c r="I65" s="29"/>
      <c r="J65" s="29"/>
      <c r="K65" s="29"/>
      <c r="L65" s="29"/>
    </row>
    <row r="66" spans="1:12" s="30" customFormat="1" ht="13.5" customHeight="1" thickBot="1">
      <c r="A66" s="21" t="s">
        <v>206</v>
      </c>
      <c r="B66" s="47" t="s">
        <v>207</v>
      </c>
      <c r="C66" s="32" t="s">
        <v>208</v>
      </c>
      <c r="D66" s="24"/>
      <c r="E66" s="24"/>
      <c r="F66" s="24"/>
      <c r="G66" s="29"/>
      <c r="H66" s="29"/>
      <c r="I66" s="29"/>
      <c r="J66" s="29"/>
      <c r="K66" s="29"/>
      <c r="L66" s="29"/>
    </row>
    <row r="67" spans="1:12" s="30" customFormat="1" ht="13.5" customHeight="1" thickBot="1">
      <c r="A67" s="21" t="s">
        <v>209</v>
      </c>
      <c r="B67" s="47" t="s">
        <v>210</v>
      </c>
      <c r="C67" s="32" t="s">
        <v>211</v>
      </c>
      <c r="D67" s="24"/>
      <c r="E67" s="24"/>
      <c r="F67" s="24"/>
      <c r="G67" s="29"/>
      <c r="H67" s="29"/>
      <c r="I67" s="29"/>
      <c r="J67" s="29"/>
      <c r="K67" s="29"/>
      <c r="L67" s="29"/>
    </row>
    <row r="68" spans="1:12" s="30" customFormat="1" ht="13.5" customHeight="1" thickBot="1">
      <c r="A68" s="21" t="s">
        <v>212</v>
      </c>
      <c r="B68" s="47" t="s">
        <v>213</v>
      </c>
      <c r="C68" s="32" t="s">
        <v>214</v>
      </c>
      <c r="D68" s="24">
        <f>SUM(D69:D70)</f>
        <v>586004203</v>
      </c>
      <c r="E68" s="24">
        <f>SUM(E69:E70)</f>
        <v>586004203</v>
      </c>
      <c r="F68" s="24">
        <f>SUM(F69:F70)</f>
        <v>636094816</v>
      </c>
      <c r="G68" s="29"/>
      <c r="H68" s="29"/>
      <c r="I68" s="29"/>
      <c r="J68" s="29"/>
      <c r="K68" s="29"/>
      <c r="L68" s="29"/>
    </row>
    <row r="69" spans="1:12" s="30" customFormat="1" ht="13.5" customHeight="1">
      <c r="A69" s="432" t="s">
        <v>215</v>
      </c>
      <c r="B69" s="433" t="s">
        <v>216</v>
      </c>
      <c r="C69" s="48" t="s">
        <v>217</v>
      </c>
      <c r="D69" s="49">
        <f>+'5.mell'!K43</f>
        <v>586004203</v>
      </c>
      <c r="E69" s="49">
        <f>+'5.mell'!L43</f>
        <v>586004203</v>
      </c>
      <c r="F69" s="49">
        <f>+'5.mell'!M43</f>
        <v>636094816</v>
      </c>
      <c r="G69" s="29"/>
      <c r="H69" s="29"/>
      <c r="I69" s="29"/>
      <c r="J69" s="29"/>
      <c r="K69" s="29"/>
      <c r="L69" s="29"/>
    </row>
    <row r="70" spans="1:12" s="30" customFormat="1" ht="13.5" customHeight="1" thickBot="1">
      <c r="A70" s="434" t="s">
        <v>218</v>
      </c>
      <c r="B70" s="435" t="s">
        <v>219</v>
      </c>
      <c r="C70" s="50" t="s">
        <v>220</v>
      </c>
      <c r="D70" s="51"/>
      <c r="E70" s="51"/>
      <c r="F70" s="51"/>
      <c r="G70" s="29"/>
      <c r="H70" s="29"/>
      <c r="I70" s="29"/>
      <c r="J70" s="29"/>
      <c r="K70" s="29"/>
      <c r="L70" s="29"/>
    </row>
    <row r="71" spans="1:12" s="27" customFormat="1" ht="13.5" customHeight="1" thickBot="1">
      <c r="A71" s="21" t="s">
        <v>221</v>
      </c>
      <c r="B71" s="47" t="s">
        <v>222</v>
      </c>
      <c r="C71" s="32" t="s">
        <v>223</v>
      </c>
      <c r="D71" s="24">
        <f>SUM(D72)</f>
        <v>462811495</v>
      </c>
      <c r="E71" s="24">
        <f>SUM(E72)</f>
        <v>405431495</v>
      </c>
      <c r="F71" s="24">
        <f>SUM(F72)</f>
        <v>177134386</v>
      </c>
      <c r="G71" s="26"/>
      <c r="H71" s="26"/>
      <c r="I71" s="26"/>
      <c r="J71" s="26"/>
      <c r="K71" s="26"/>
      <c r="L71" s="26"/>
    </row>
    <row r="72" spans="1:12" s="30" customFormat="1" ht="13.5" customHeight="1" thickBot="1">
      <c r="A72" s="423" t="s">
        <v>224</v>
      </c>
      <c r="B72" s="424" t="s">
        <v>225</v>
      </c>
      <c r="C72" s="25" t="s">
        <v>226</v>
      </c>
      <c r="D72" s="42">
        <f>+'5.mell'!K44</f>
        <v>462811495</v>
      </c>
      <c r="E72" s="42">
        <f>+'5.mell'!L44</f>
        <v>405431495</v>
      </c>
      <c r="F72" s="42">
        <f>+'5.mell'!M44</f>
        <v>177134386</v>
      </c>
      <c r="G72" s="29"/>
      <c r="H72" s="29"/>
      <c r="I72" s="29"/>
      <c r="J72" s="29"/>
      <c r="K72" s="29"/>
      <c r="L72" s="29"/>
    </row>
    <row r="73" spans="1:12" s="30" customFormat="1" ht="13.5" customHeight="1" thickBot="1">
      <c r="A73" s="21" t="s">
        <v>227</v>
      </c>
      <c r="B73" s="47" t="s">
        <v>228</v>
      </c>
      <c r="C73" s="32" t="s">
        <v>229</v>
      </c>
      <c r="D73" s="24"/>
      <c r="E73" s="24"/>
      <c r="F73" s="24"/>
      <c r="G73" s="29"/>
      <c r="H73" s="29"/>
      <c r="I73" s="29"/>
      <c r="J73" s="29"/>
      <c r="K73" s="29"/>
      <c r="L73" s="29"/>
    </row>
    <row r="74" spans="1:12" s="27" customFormat="1" ht="13.5" customHeight="1" thickBot="1">
      <c r="A74" s="21" t="s">
        <v>230</v>
      </c>
      <c r="B74" s="47" t="s">
        <v>231</v>
      </c>
      <c r="C74" s="52" t="s">
        <v>232</v>
      </c>
      <c r="D74" s="35">
        <f>D66+D67+D68+D71+D73</f>
        <v>1048815698</v>
      </c>
      <c r="E74" s="35">
        <f>E66+E67+E68+E71+E73</f>
        <v>991435698</v>
      </c>
      <c r="F74" s="35">
        <f>F66+F67+F68+F71+F73</f>
        <v>813229202</v>
      </c>
      <c r="G74" s="26"/>
      <c r="H74" s="26"/>
      <c r="I74" s="26"/>
      <c r="J74" s="26"/>
      <c r="K74" s="26"/>
      <c r="L74" s="26"/>
    </row>
    <row r="75" spans="1:12" s="27" customFormat="1" ht="13.5" customHeight="1" thickBot="1">
      <c r="A75" s="436"/>
      <c r="B75" s="47" t="s">
        <v>233</v>
      </c>
      <c r="C75" s="52" t="s">
        <v>234</v>
      </c>
      <c r="D75" s="35">
        <f>D65+D74</f>
        <v>2061769803</v>
      </c>
      <c r="E75" s="35">
        <f>E65+E74</f>
        <v>1986415718</v>
      </c>
      <c r="F75" s="35">
        <f>F65+F74+4</f>
        <v>1249640757</v>
      </c>
      <c r="G75" s="658"/>
      <c r="H75" s="26"/>
      <c r="I75" s="26"/>
      <c r="J75" s="26"/>
      <c r="K75" s="26"/>
      <c r="L75" s="26"/>
    </row>
    <row r="76" spans="2:12" s="27" customFormat="1" ht="24" customHeight="1">
      <c r="B76" s="53"/>
      <c r="C76" s="54"/>
      <c r="D76" s="55"/>
      <c r="E76" s="55"/>
      <c r="F76" s="55"/>
      <c r="G76" s="26"/>
      <c r="H76" s="26"/>
      <c r="I76" s="26"/>
      <c r="J76" s="26"/>
      <c r="K76" s="26"/>
      <c r="L76" s="26"/>
    </row>
    <row r="77" spans="2:12" s="27" customFormat="1" ht="24" customHeight="1">
      <c r="B77" s="53"/>
      <c r="C77" s="54"/>
      <c r="D77" s="55"/>
      <c r="E77" s="55"/>
      <c r="F77" s="55"/>
      <c r="G77" s="26"/>
      <c r="H77" s="26"/>
      <c r="I77" s="26"/>
      <c r="J77" s="26"/>
      <c r="K77" s="26"/>
      <c r="L77" s="26"/>
    </row>
    <row r="78" spans="2:12" s="27" customFormat="1" ht="24" customHeight="1">
      <c r="B78" s="53"/>
      <c r="C78" s="54"/>
      <c r="D78" s="55"/>
      <c r="E78" s="55"/>
      <c r="F78" s="55"/>
      <c r="G78" s="26"/>
      <c r="H78" s="26"/>
      <c r="I78" s="26"/>
      <c r="J78" s="26"/>
      <c r="K78" s="26"/>
      <c r="L78" s="26"/>
    </row>
    <row r="79" spans="2:12" s="27" customFormat="1" ht="24" customHeight="1">
      <c r="B79" s="53"/>
      <c r="C79" s="54"/>
      <c r="D79" s="55"/>
      <c r="E79" s="55"/>
      <c r="F79" s="55"/>
      <c r="G79" s="26"/>
      <c r="H79" s="26"/>
      <c r="I79" s="26"/>
      <c r="J79" s="26"/>
      <c r="K79" s="26"/>
      <c r="L79" s="26"/>
    </row>
    <row r="80" spans="2:12" s="30" customFormat="1" ht="15" customHeight="1" thickBot="1">
      <c r="B80" s="56"/>
      <c r="C80" s="57"/>
      <c r="D80" s="58"/>
      <c r="E80" s="58"/>
      <c r="F80" s="58"/>
      <c r="G80" s="29"/>
      <c r="H80" s="29"/>
      <c r="I80" s="29"/>
      <c r="J80" s="29"/>
      <c r="K80" s="29"/>
      <c r="L80" s="29"/>
    </row>
    <row r="81" spans="1:12" s="20" customFormat="1" ht="15.75" customHeight="1" thickBot="1">
      <c r="A81" s="59" t="s">
        <v>39</v>
      </c>
      <c r="B81" s="60" t="s">
        <v>40</v>
      </c>
      <c r="C81" s="61" t="s">
        <v>235</v>
      </c>
      <c r="D81" s="62"/>
      <c r="E81" s="62"/>
      <c r="F81" s="62"/>
      <c r="G81" s="19"/>
      <c r="H81" s="19"/>
      <c r="I81" s="19"/>
      <c r="J81" s="19"/>
      <c r="K81" s="19"/>
      <c r="L81" s="19"/>
    </row>
    <row r="82" spans="1:12" s="66" customFormat="1" ht="15.75" customHeight="1" thickBot="1">
      <c r="A82" s="63"/>
      <c r="B82" s="22" t="s">
        <v>0</v>
      </c>
      <c r="C82" s="64" t="s">
        <v>1084</v>
      </c>
      <c r="D82" s="24">
        <f>D83+D84+D85+D86+D87</f>
        <v>1002465097</v>
      </c>
      <c r="E82" s="24">
        <f>E83+E84+E85+E86+E87</f>
        <v>1090081244</v>
      </c>
      <c r="F82" s="24">
        <f>F83+F84+F85+F86+F87</f>
        <v>373550365</v>
      </c>
      <c r="G82" s="65"/>
      <c r="H82" s="65"/>
      <c r="I82" s="65"/>
      <c r="J82" s="65"/>
      <c r="K82" s="65"/>
      <c r="L82" s="65"/>
    </row>
    <row r="83" spans="1:6" ht="15.75" customHeight="1">
      <c r="A83" s="67" t="s">
        <v>236</v>
      </c>
      <c r="B83" s="433" t="s">
        <v>46</v>
      </c>
      <c r="C83" s="437" t="s">
        <v>237</v>
      </c>
      <c r="D83" s="438">
        <f>+'6.mell'!M6</f>
        <v>355011733</v>
      </c>
      <c r="E83" s="438">
        <f>+'6.mell'!N6</f>
        <v>328121733</v>
      </c>
      <c r="F83" s="438">
        <f>+'6.mell'!O6</f>
        <v>151057017</v>
      </c>
    </row>
    <row r="84" spans="1:6" ht="15.75" customHeight="1">
      <c r="A84" s="68" t="s">
        <v>238</v>
      </c>
      <c r="B84" s="426" t="s">
        <v>49</v>
      </c>
      <c r="C84" s="439" t="s">
        <v>8</v>
      </c>
      <c r="D84" s="430">
        <f>+'6.mell'!M7</f>
        <v>69558506</v>
      </c>
      <c r="E84" s="430">
        <f>+'6.mell'!N7</f>
        <v>64448506</v>
      </c>
      <c r="F84" s="430">
        <f>+'6.mell'!O7</f>
        <v>29210434</v>
      </c>
    </row>
    <row r="85" spans="1:6" ht="15.75" customHeight="1">
      <c r="A85" s="68" t="s">
        <v>239</v>
      </c>
      <c r="B85" s="426" t="s">
        <v>52</v>
      </c>
      <c r="C85" s="440" t="s">
        <v>240</v>
      </c>
      <c r="D85" s="441">
        <f>+'6.mell'!M8</f>
        <v>367966700</v>
      </c>
      <c r="E85" s="441">
        <f>+'6.mell'!N8</f>
        <v>312893737</v>
      </c>
      <c r="F85" s="441">
        <f>+'6.mell'!O8</f>
        <v>125251444</v>
      </c>
    </row>
    <row r="86" spans="1:6" ht="15.75" customHeight="1">
      <c r="A86" s="68" t="s">
        <v>241</v>
      </c>
      <c r="B86" s="426" t="s">
        <v>55</v>
      </c>
      <c r="C86" s="442" t="s">
        <v>9</v>
      </c>
      <c r="D86" s="431">
        <f>+'6.mell'!M9</f>
        <v>5200000</v>
      </c>
      <c r="E86" s="431">
        <f>+'6.mell'!N9</f>
        <v>5200000</v>
      </c>
      <c r="F86" s="431">
        <f>+'6.mell'!O9</f>
        <v>2523939</v>
      </c>
    </row>
    <row r="87" spans="1:6" ht="15.75" customHeight="1">
      <c r="A87" s="68" t="s">
        <v>242</v>
      </c>
      <c r="B87" s="426" t="s">
        <v>243</v>
      </c>
      <c r="C87" s="443" t="s">
        <v>10</v>
      </c>
      <c r="D87" s="431">
        <f>+'6.mell'!M10</f>
        <v>204728158</v>
      </c>
      <c r="E87" s="431">
        <f>+'6.mell'!N10</f>
        <v>379417268</v>
      </c>
      <c r="F87" s="431">
        <f>+'6.mell'!O10</f>
        <v>65507531</v>
      </c>
    </row>
    <row r="88" spans="1:6" ht="15.75" customHeight="1">
      <c r="A88" s="68"/>
      <c r="B88" s="426" t="s">
        <v>61</v>
      </c>
      <c r="C88" s="439" t="s">
        <v>244</v>
      </c>
      <c r="D88" s="431"/>
      <c r="E88" s="431"/>
      <c r="F88" s="431"/>
    </row>
    <row r="89" spans="1:6" ht="15.75" customHeight="1">
      <c r="A89" s="68"/>
      <c r="B89" s="426" t="s">
        <v>245</v>
      </c>
      <c r="C89" s="444" t="s">
        <v>246</v>
      </c>
      <c r="D89" s="431">
        <f>+'6.mell'!M11</f>
        <v>0</v>
      </c>
      <c r="E89" s="431"/>
      <c r="F89" s="431"/>
    </row>
    <row r="90" spans="1:6" ht="15.75" customHeight="1">
      <c r="A90" s="68" t="s">
        <v>247</v>
      </c>
      <c r="B90" s="426" t="s">
        <v>248</v>
      </c>
      <c r="C90" s="444" t="s">
        <v>249</v>
      </c>
      <c r="D90" s="431">
        <f>'7.a.mell'!D90</f>
        <v>16750787</v>
      </c>
      <c r="E90" s="431">
        <f>'7.a.mell'!E90</f>
        <v>16750787</v>
      </c>
      <c r="F90" s="431">
        <f>'7.a.mell'!F90</f>
        <v>0</v>
      </c>
    </row>
    <row r="91" spans="1:6" ht="15.75" customHeight="1">
      <c r="A91" s="68" t="s">
        <v>250</v>
      </c>
      <c r="B91" s="426" t="s">
        <v>251</v>
      </c>
      <c r="C91" s="444" t="s">
        <v>252</v>
      </c>
      <c r="D91" s="431"/>
      <c r="E91" s="431"/>
      <c r="F91" s="431"/>
    </row>
    <row r="92" spans="1:6" ht="15.75" customHeight="1">
      <c r="A92" s="68" t="s">
        <v>253</v>
      </c>
      <c r="B92" s="426" t="s">
        <v>254</v>
      </c>
      <c r="C92" s="445" t="s">
        <v>255</v>
      </c>
      <c r="D92" s="431"/>
      <c r="E92" s="431"/>
      <c r="F92" s="431"/>
    </row>
    <row r="93" spans="1:6" ht="15.75" customHeight="1">
      <c r="A93" s="68" t="s">
        <v>256</v>
      </c>
      <c r="B93" s="426" t="s">
        <v>257</v>
      </c>
      <c r="C93" s="445" t="s">
        <v>258</v>
      </c>
      <c r="D93" s="431"/>
      <c r="E93" s="431"/>
      <c r="F93" s="431"/>
    </row>
    <row r="94" spans="1:6" ht="15.75" customHeight="1">
      <c r="A94" s="68" t="s">
        <v>259</v>
      </c>
      <c r="B94" s="426" t="s">
        <v>260</v>
      </c>
      <c r="C94" s="444" t="s">
        <v>261</v>
      </c>
      <c r="D94" s="431">
        <f>'7.a.mell'!D94</f>
        <v>1623000</v>
      </c>
      <c r="E94" s="431">
        <f>'7.a.mell'!E94</f>
        <v>1623000</v>
      </c>
      <c r="F94" s="431">
        <f>'7.a.mell'!F94</f>
        <v>1027500</v>
      </c>
    </row>
    <row r="95" spans="1:6" ht="15.75" customHeight="1">
      <c r="A95" s="68" t="s">
        <v>262</v>
      </c>
      <c r="B95" s="426" t="s">
        <v>263</v>
      </c>
      <c r="C95" s="444" t="s">
        <v>264</v>
      </c>
      <c r="D95" s="431"/>
      <c r="E95" s="431"/>
      <c r="F95" s="431"/>
    </row>
    <row r="96" spans="1:6" ht="15.75" customHeight="1">
      <c r="A96" s="68" t="s">
        <v>265</v>
      </c>
      <c r="B96" s="426" t="s">
        <v>266</v>
      </c>
      <c r="C96" s="445" t="s">
        <v>267</v>
      </c>
      <c r="D96" s="431"/>
      <c r="E96" s="431"/>
      <c r="F96" s="431"/>
    </row>
    <row r="97" spans="1:6" ht="15.75" customHeight="1">
      <c r="A97" s="68" t="s">
        <v>268</v>
      </c>
      <c r="B97" s="446" t="s">
        <v>269</v>
      </c>
      <c r="C97" s="447" t="s">
        <v>270</v>
      </c>
      <c r="D97" s="431"/>
      <c r="E97" s="431"/>
      <c r="F97" s="431"/>
    </row>
    <row r="98" spans="1:6" ht="15.75" customHeight="1">
      <c r="A98" s="68" t="s">
        <v>271</v>
      </c>
      <c r="B98" s="426" t="s">
        <v>272</v>
      </c>
      <c r="C98" s="445" t="s">
        <v>273</v>
      </c>
      <c r="D98" s="431"/>
      <c r="E98" s="431"/>
      <c r="F98" s="431"/>
    </row>
    <row r="99" spans="1:6" ht="15.75" customHeight="1">
      <c r="A99" s="68" t="s">
        <v>276</v>
      </c>
      <c r="B99" s="426" t="s">
        <v>274</v>
      </c>
      <c r="C99" s="445" t="s">
        <v>275</v>
      </c>
      <c r="D99" s="430">
        <f>'7.a.mell'!D99</f>
        <v>101920000</v>
      </c>
      <c r="E99" s="430">
        <f>'7.a.mell'!E99</f>
        <v>103825000</v>
      </c>
      <c r="F99" s="430">
        <f>'7.a.mell'!F99</f>
        <v>63626865</v>
      </c>
    </row>
    <row r="100" spans="1:6" ht="15.75" customHeight="1" thickBot="1">
      <c r="A100" s="68" t="s">
        <v>1033</v>
      </c>
      <c r="B100" s="448" t="s">
        <v>277</v>
      </c>
      <c r="C100" s="449" t="s">
        <v>278</v>
      </c>
      <c r="D100" s="42">
        <v>84434371</v>
      </c>
      <c r="E100" s="42">
        <f>'6.mell'!N14</f>
        <v>257218481</v>
      </c>
      <c r="F100" s="42">
        <f>'6.mell'!O14</f>
        <v>0</v>
      </c>
    </row>
    <row r="101" spans="1:6" ht="15.75" customHeight="1" thickBot="1">
      <c r="A101" s="69"/>
      <c r="B101" s="22" t="s">
        <v>1</v>
      </c>
      <c r="C101" s="64" t="s">
        <v>1085</v>
      </c>
      <c r="D101" s="24">
        <f>D102+D103+D104</f>
        <v>587525977.56</v>
      </c>
      <c r="E101" s="24">
        <f>E102+E103+E104</f>
        <v>481935745.56</v>
      </c>
      <c r="F101" s="24">
        <f>F102+F103+F104</f>
        <v>91233276</v>
      </c>
    </row>
    <row r="102" spans="1:6" ht="15.75" customHeight="1">
      <c r="A102" s="67" t="s">
        <v>279</v>
      </c>
      <c r="B102" s="424" t="s">
        <v>66</v>
      </c>
      <c r="C102" s="439" t="s">
        <v>11</v>
      </c>
      <c r="D102" s="425">
        <f>+'7.a.mell'!D102+'7.mell'!D53+'10.mell'!D52+'11.mell'!D52+'12.mell'!D52+'13.mell'!D52</f>
        <v>578270977.56</v>
      </c>
      <c r="E102" s="425">
        <f>'6.mell'!N16</f>
        <v>468880745.56</v>
      </c>
      <c r="F102" s="425">
        <f>'6.mell'!O16</f>
        <v>90786668</v>
      </c>
    </row>
    <row r="103" spans="1:6" ht="15.75" customHeight="1">
      <c r="A103" s="68" t="s">
        <v>280</v>
      </c>
      <c r="B103" s="424" t="s">
        <v>72</v>
      </c>
      <c r="C103" s="450" t="s">
        <v>12</v>
      </c>
      <c r="D103" s="430">
        <f>+'7.a.mell'!D103+'7.mell'!D54+'10.mell'!D53+'11.mell'!D53+'12.mell'!D53+'13.mell'!D53</f>
        <v>9255000</v>
      </c>
      <c r="E103" s="430">
        <f>'6.mell'!N17</f>
        <v>13055000</v>
      </c>
      <c r="F103" s="430">
        <f>'6.mell'!O17</f>
        <v>446608</v>
      </c>
    </row>
    <row r="104" spans="1:6" ht="15.75" customHeight="1">
      <c r="A104" s="68" t="s">
        <v>281</v>
      </c>
      <c r="B104" s="424" t="s">
        <v>78</v>
      </c>
      <c r="C104" s="75" t="s">
        <v>282</v>
      </c>
      <c r="D104" s="451">
        <v>0</v>
      </c>
      <c r="E104" s="451">
        <v>0</v>
      </c>
      <c r="F104" s="451">
        <v>0</v>
      </c>
    </row>
    <row r="105" spans="1:12" s="73" customFormat="1" ht="15.75" customHeight="1">
      <c r="A105" s="70" t="s">
        <v>283</v>
      </c>
      <c r="B105" s="71" t="s">
        <v>80</v>
      </c>
      <c r="C105" s="76" t="s">
        <v>284</v>
      </c>
      <c r="D105" s="74"/>
      <c r="E105" s="74"/>
      <c r="F105" s="74"/>
      <c r="G105" s="72"/>
      <c r="H105" s="72"/>
      <c r="I105" s="72"/>
      <c r="J105" s="72"/>
      <c r="K105" s="72"/>
      <c r="L105" s="72"/>
    </row>
    <row r="106" spans="1:12" s="73" customFormat="1" ht="15.75" customHeight="1" thickBot="1">
      <c r="A106" s="70" t="s">
        <v>285</v>
      </c>
      <c r="B106" s="71" t="s">
        <v>286</v>
      </c>
      <c r="C106" s="77" t="s">
        <v>287</v>
      </c>
      <c r="D106" s="74"/>
      <c r="E106" s="74"/>
      <c r="F106" s="74"/>
      <c r="G106" s="72"/>
      <c r="H106" s="72"/>
      <c r="I106" s="72"/>
      <c r="J106" s="72"/>
      <c r="K106" s="72"/>
      <c r="L106" s="72"/>
    </row>
    <row r="107" spans="1:6" ht="15.75" customHeight="1" thickBot="1">
      <c r="A107" s="21" t="s">
        <v>288</v>
      </c>
      <c r="B107" s="22" t="s">
        <v>2</v>
      </c>
      <c r="C107" s="78" t="s">
        <v>289</v>
      </c>
      <c r="D107" s="24">
        <f>D82+D101</f>
        <v>1589991074.56</v>
      </c>
      <c r="E107" s="24">
        <f>E82+E101</f>
        <v>1572016989.56</v>
      </c>
      <c r="F107" s="24">
        <f>F82+F101</f>
        <v>464783641</v>
      </c>
    </row>
    <row r="108" spans="1:6" ht="15.75" customHeight="1" thickBot="1">
      <c r="A108" s="21" t="s">
        <v>290</v>
      </c>
      <c r="B108" s="22" t="s">
        <v>3</v>
      </c>
      <c r="C108" s="78" t="s">
        <v>291</v>
      </c>
      <c r="D108" s="24"/>
      <c r="E108" s="24"/>
      <c r="F108" s="24"/>
    </row>
    <row r="109" spans="1:6" ht="15.75" customHeight="1" thickBot="1">
      <c r="A109" s="21" t="s">
        <v>292</v>
      </c>
      <c r="B109" s="22" t="s">
        <v>4</v>
      </c>
      <c r="C109" s="78" t="s">
        <v>293</v>
      </c>
      <c r="D109" s="24"/>
      <c r="E109" s="24"/>
      <c r="F109" s="24"/>
    </row>
    <row r="110" spans="1:6" ht="15.75" customHeight="1" thickBot="1">
      <c r="A110" s="21" t="s">
        <v>294</v>
      </c>
      <c r="B110" s="22" t="s">
        <v>5</v>
      </c>
      <c r="C110" s="78" t="s">
        <v>295</v>
      </c>
      <c r="D110" s="35">
        <f>SUM(D111+D112)</f>
        <v>471778728</v>
      </c>
      <c r="E110" s="35">
        <f>SUM(E111+E112)</f>
        <v>414398728</v>
      </c>
      <c r="F110" s="35">
        <f>SUM(F111+F112)</f>
        <v>186085361</v>
      </c>
    </row>
    <row r="111" spans="1:6" ht="15.75" customHeight="1">
      <c r="A111" s="79" t="s">
        <v>296</v>
      </c>
      <c r="B111" s="80" t="s">
        <v>297</v>
      </c>
      <c r="C111" s="81" t="s">
        <v>298</v>
      </c>
      <c r="D111" s="82">
        <f>'7.a.mell'!D111</f>
        <v>8967233</v>
      </c>
      <c r="E111" s="82">
        <f>'7.a.mell'!E111</f>
        <v>8967233</v>
      </c>
      <c r="F111" s="82">
        <f>'7.a.mell'!F111</f>
        <v>10863040</v>
      </c>
    </row>
    <row r="112" spans="1:6" ht="15.75" customHeight="1" thickBot="1">
      <c r="A112" s="83" t="s">
        <v>1035</v>
      </c>
      <c r="B112" s="424" t="s">
        <v>299</v>
      </c>
      <c r="C112" s="452" t="s">
        <v>300</v>
      </c>
      <c r="D112" s="451">
        <f>'7.a.mell'!D112</f>
        <v>462811495</v>
      </c>
      <c r="E112" s="451">
        <f>'7.a.mell'!E112</f>
        <v>405431495</v>
      </c>
      <c r="F112" s="451">
        <f>'7.a.mell'!F112</f>
        <v>175222321</v>
      </c>
    </row>
    <row r="113" spans="1:12" s="66" customFormat="1" ht="15.75" customHeight="1" thickBot="1">
      <c r="A113" s="21" t="s">
        <v>301</v>
      </c>
      <c r="B113" s="22" t="s">
        <v>6</v>
      </c>
      <c r="C113" s="78" t="s">
        <v>302</v>
      </c>
      <c r="D113" s="84"/>
      <c r="E113" s="84"/>
      <c r="F113" s="84"/>
      <c r="G113" s="65"/>
      <c r="H113" s="65"/>
      <c r="I113" s="65"/>
      <c r="J113" s="65"/>
      <c r="K113" s="65"/>
      <c r="L113" s="65"/>
    </row>
    <row r="114" spans="1:6" ht="15.75" customHeight="1" thickBot="1">
      <c r="A114" s="85"/>
      <c r="B114" s="22" t="s">
        <v>303</v>
      </c>
      <c r="C114" s="78" t="s">
        <v>304</v>
      </c>
      <c r="D114" s="86">
        <f>D108+D109+D110</f>
        <v>471778728</v>
      </c>
      <c r="E114" s="86">
        <f>E108+E109+E110</f>
        <v>414398728</v>
      </c>
      <c r="F114" s="86">
        <f>F108+F109+F110</f>
        <v>186085361</v>
      </c>
    </row>
    <row r="115" spans="1:7" ht="15.75" customHeight="1" thickBot="1">
      <c r="A115" s="87"/>
      <c r="B115" s="88" t="s">
        <v>305</v>
      </c>
      <c r="C115" s="89" t="s">
        <v>306</v>
      </c>
      <c r="D115" s="86">
        <f>D107+D114</f>
        <v>2061769802.56</v>
      </c>
      <c r="E115" s="86">
        <f>E107+E114</f>
        <v>1986415717.56</v>
      </c>
      <c r="F115" s="86">
        <f>F107+F114</f>
        <v>650869002</v>
      </c>
      <c r="G115" s="659"/>
    </row>
    <row r="116" spans="4:6" ht="13.5" customHeight="1">
      <c r="D116" s="481">
        <f>+D75-D115</f>
        <v>0.440000057220459</v>
      </c>
      <c r="E116" s="481">
        <f>+E75-E115</f>
        <v>0.440000057220459</v>
      </c>
      <c r="F116" s="481"/>
    </row>
    <row r="117" spans="2:6" ht="13.5" customHeight="1">
      <c r="B117" s="93"/>
      <c r="C117" s="94"/>
      <c r="D117" s="95"/>
      <c r="E117" s="95"/>
      <c r="F117" s="95"/>
    </row>
    <row r="118" spans="2:6" ht="13.5" customHeight="1">
      <c r="B118" s="93"/>
      <c r="C118" s="94"/>
      <c r="D118" s="95"/>
      <c r="E118" s="95"/>
      <c r="F118" s="95"/>
    </row>
    <row r="119" spans="4:6" ht="12.75">
      <c r="D119" s="96"/>
      <c r="E119" s="96"/>
      <c r="F119" s="96"/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7" r:id="rId1"/>
  <headerFooter>
    <oddHeader>&amp;Ca 12/2020. (VII. 10.) önkormányzati rendelet 3. melléklete</oddHead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3"/>
  <sheetViews>
    <sheetView zoomScale="120" zoomScaleNormal="120" zoomScalePageLayoutView="90" workbookViewId="0" topLeftCell="A7">
      <pane xSplit="4" ySplit="2" topLeftCell="E33" activePane="bottomRight" state="frozen"/>
      <selection pane="topLeft" activeCell="A7" sqref="A7"/>
      <selection pane="topRight" activeCell="E7" sqref="E7"/>
      <selection pane="bottomLeft" activeCell="A9" sqref="A9"/>
      <selection pane="bottomRight" activeCell="I42" sqref="I42"/>
    </sheetView>
  </sheetViews>
  <sheetFormatPr defaultColWidth="9.00390625" defaultRowHeight="12.75"/>
  <cols>
    <col min="1" max="1" width="16.625" style="135" bestFit="1" customWidth="1"/>
    <col min="2" max="2" width="7.625" style="139" bestFit="1" customWidth="1"/>
    <col min="3" max="3" width="98.125" style="135" bestFit="1" customWidth="1"/>
    <col min="4" max="4" width="10.125" style="136" bestFit="1" customWidth="1"/>
    <col min="5" max="5" width="14.50390625" style="137" bestFit="1" customWidth="1"/>
    <col min="6" max="6" width="12.625" style="135" bestFit="1" customWidth="1"/>
    <col min="7" max="7" width="12.875" style="135" bestFit="1" customWidth="1"/>
    <col min="8" max="8" width="11.625" style="135" bestFit="1" customWidth="1"/>
    <col min="9" max="10" width="12.875" style="135" bestFit="1" customWidth="1"/>
    <col min="11" max="11" width="10.125" style="135" bestFit="1" customWidth="1"/>
    <col min="12" max="12" width="10.875" style="135" bestFit="1" customWidth="1"/>
    <col min="13" max="13" width="9.125" style="135" bestFit="1" customWidth="1"/>
    <col min="14" max="14" width="13.875" style="135" bestFit="1" customWidth="1"/>
    <col min="15" max="15" width="12.625" style="138" bestFit="1" customWidth="1"/>
    <col min="16" max="16" width="13.375" style="135" bestFit="1" customWidth="1"/>
    <col min="17" max="17" width="27.375" style="135" bestFit="1" customWidth="1"/>
    <col min="18" max="18" width="43.375" style="135" bestFit="1" customWidth="1"/>
    <col min="19" max="16384" width="9.375" style="135" customWidth="1"/>
  </cols>
  <sheetData>
    <row r="1" spans="2:3" ht="12.75">
      <c r="B1" s="720"/>
      <c r="C1" s="720"/>
    </row>
    <row r="2" ht="10.5" customHeight="1"/>
    <row r="3" spans="2:17" ht="15.75" customHeight="1">
      <c r="B3" s="721" t="s">
        <v>994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453"/>
    </row>
    <row r="4" spans="2:17" ht="12.75" customHeight="1">
      <c r="B4" s="721" t="s">
        <v>383</v>
      </c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140"/>
    </row>
    <row r="5" spans="14:18" ht="11.25" customHeight="1" thickBot="1">
      <c r="N5" s="137"/>
      <c r="O5" s="141"/>
      <c r="P5" s="141"/>
      <c r="Q5" s="141"/>
      <c r="R5" s="141" t="s">
        <v>384</v>
      </c>
    </row>
    <row r="6" spans="1:18" s="454" customFormat="1" ht="13.5" customHeight="1" thickBot="1">
      <c r="A6" s="722" t="s">
        <v>34</v>
      </c>
      <c r="B6" s="722"/>
      <c r="C6" s="722"/>
      <c r="D6" s="722"/>
      <c r="E6" s="724" t="s">
        <v>385</v>
      </c>
      <c r="F6" s="726" t="s">
        <v>386</v>
      </c>
      <c r="G6" s="729" t="s">
        <v>387</v>
      </c>
      <c r="H6" s="730"/>
      <c r="I6" s="730"/>
      <c r="J6" s="730"/>
      <c r="K6" s="730"/>
      <c r="L6" s="730"/>
      <c r="M6" s="730" t="s">
        <v>388</v>
      </c>
      <c r="N6" s="730"/>
      <c r="O6" s="730"/>
      <c r="P6" s="730"/>
      <c r="Q6" s="712" t="s">
        <v>389</v>
      </c>
      <c r="R6" s="712"/>
    </row>
    <row r="7" spans="1:18" s="454" customFormat="1" ht="12" customHeight="1" thickBot="1">
      <c r="A7" s="722"/>
      <c r="B7" s="722"/>
      <c r="C7" s="722"/>
      <c r="D7" s="722"/>
      <c r="E7" s="724"/>
      <c r="F7" s="727"/>
      <c r="G7" s="713" t="s">
        <v>390</v>
      </c>
      <c r="H7" s="715" t="s">
        <v>391</v>
      </c>
      <c r="I7" s="715" t="s">
        <v>392</v>
      </c>
      <c r="J7" s="715" t="s">
        <v>393</v>
      </c>
      <c r="K7" s="715" t="s">
        <v>394</v>
      </c>
      <c r="L7" s="715" t="s">
        <v>395</v>
      </c>
      <c r="M7" s="718" t="s">
        <v>396</v>
      </c>
      <c r="N7" s="718" t="s">
        <v>397</v>
      </c>
      <c r="O7" s="715" t="s">
        <v>282</v>
      </c>
      <c r="P7" s="731" t="s">
        <v>398</v>
      </c>
      <c r="Q7" s="708" t="s">
        <v>1053</v>
      </c>
      <c r="R7" s="708" t="s">
        <v>400</v>
      </c>
    </row>
    <row r="8" spans="1:18" s="454" customFormat="1" ht="39" customHeight="1" thickBot="1">
      <c r="A8" s="723"/>
      <c r="B8" s="723"/>
      <c r="C8" s="723"/>
      <c r="D8" s="723"/>
      <c r="E8" s="725"/>
      <c r="F8" s="728"/>
      <c r="G8" s="714"/>
      <c r="H8" s="716"/>
      <c r="I8" s="716"/>
      <c r="J8" s="716"/>
      <c r="K8" s="716"/>
      <c r="L8" s="717"/>
      <c r="M8" s="719"/>
      <c r="N8" s="718"/>
      <c r="O8" s="717"/>
      <c r="P8" s="717"/>
      <c r="Q8" s="709"/>
      <c r="R8" s="709"/>
    </row>
    <row r="9" spans="1:18" s="454" customFormat="1" ht="15" customHeight="1" thickBot="1">
      <c r="A9" s="589" t="s">
        <v>401</v>
      </c>
      <c r="B9" s="455" t="s">
        <v>531</v>
      </c>
      <c r="C9" s="456" t="s">
        <v>402</v>
      </c>
      <c r="D9" s="457"/>
      <c r="E9" s="457">
        <f>'7.a.mell'!D37</f>
        <v>62529580</v>
      </c>
      <c r="F9" s="458">
        <f>SUM(G9:R9)</f>
        <v>63426302</v>
      </c>
      <c r="G9" s="597">
        <v>15926115</v>
      </c>
      <c r="H9" s="597">
        <v>2592958</v>
      </c>
      <c r="I9" s="597">
        <v>40202319</v>
      </c>
      <c r="J9" s="597">
        <v>762765</v>
      </c>
      <c r="K9" s="598"/>
      <c r="L9" s="599"/>
      <c r="M9" s="599"/>
      <c r="N9" s="600">
        <v>3942145</v>
      </c>
      <c r="O9" s="599"/>
      <c r="P9" s="599"/>
      <c r="Q9" s="599"/>
      <c r="R9" s="601"/>
    </row>
    <row r="10" spans="1:18" s="454" customFormat="1" ht="15" customHeight="1">
      <c r="A10" s="463" t="s">
        <v>404</v>
      </c>
      <c r="B10" s="459">
        <v>900020</v>
      </c>
      <c r="C10" s="456" t="s">
        <v>1054</v>
      </c>
      <c r="D10" s="465" t="s">
        <v>1124</v>
      </c>
      <c r="E10" s="460">
        <f>'7.a.mell'!D27</f>
        <v>520500000</v>
      </c>
      <c r="F10" s="458">
        <f aca="true" t="shared" si="0" ref="F10:F53">SUM(G10:R10)</f>
        <v>0</v>
      </c>
      <c r="G10" s="243"/>
      <c r="H10" s="243"/>
      <c r="I10" s="243"/>
      <c r="J10" s="243">
        <v>0</v>
      </c>
      <c r="K10" s="243"/>
      <c r="L10" s="243"/>
      <c r="M10" s="243"/>
      <c r="N10" s="243"/>
      <c r="O10" s="243"/>
      <c r="P10" s="243"/>
      <c r="Q10" s="243"/>
      <c r="R10" s="143"/>
    </row>
    <row r="11" spans="1:18" s="454" customFormat="1" ht="15" customHeight="1">
      <c r="A11" s="463" t="s">
        <v>404</v>
      </c>
      <c r="B11" s="459" t="s">
        <v>1102</v>
      </c>
      <c r="C11" s="461" t="s">
        <v>405</v>
      </c>
      <c r="D11" s="465" t="s">
        <v>1124</v>
      </c>
      <c r="E11" s="462"/>
      <c r="F11" s="458">
        <f t="shared" si="0"/>
        <v>0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143"/>
    </row>
    <row r="12" spans="1:18" s="454" customFormat="1" ht="15" customHeight="1">
      <c r="A12" s="463" t="s">
        <v>403</v>
      </c>
      <c r="B12" s="459" t="s">
        <v>1103</v>
      </c>
      <c r="C12" s="461" t="s">
        <v>407</v>
      </c>
      <c r="D12" s="465" t="s">
        <v>1124</v>
      </c>
      <c r="E12" s="462"/>
      <c r="F12" s="458">
        <f t="shared" si="0"/>
        <v>2231723</v>
      </c>
      <c r="G12" s="596">
        <v>1583493</v>
      </c>
      <c r="H12" s="596">
        <v>297565</v>
      </c>
      <c r="I12" s="596">
        <v>350665</v>
      </c>
      <c r="J12" s="144"/>
      <c r="K12" s="144"/>
      <c r="L12" s="144"/>
      <c r="M12" s="144"/>
      <c r="N12" s="144"/>
      <c r="O12" s="144"/>
      <c r="P12" s="144"/>
      <c r="Q12" s="144"/>
      <c r="R12" s="143"/>
    </row>
    <row r="13" spans="1:18" s="454" customFormat="1" ht="15" customHeight="1">
      <c r="A13" s="463" t="s">
        <v>403</v>
      </c>
      <c r="B13" s="459" t="s">
        <v>535</v>
      </c>
      <c r="C13" s="461" t="s">
        <v>408</v>
      </c>
      <c r="D13" s="465" t="s">
        <v>1124</v>
      </c>
      <c r="E13" s="462">
        <f>'7.a.mell'!D49</f>
        <v>50000000</v>
      </c>
      <c r="F13" s="458">
        <f t="shared" si="0"/>
        <v>149399699</v>
      </c>
      <c r="G13" s="144"/>
      <c r="H13" s="144"/>
      <c r="I13" s="144">
        <v>3996151</v>
      </c>
      <c r="J13" s="144"/>
      <c r="K13" s="144"/>
      <c r="L13" s="144"/>
      <c r="M13" s="144"/>
      <c r="N13" s="602">
        <v>138361910</v>
      </c>
      <c r="O13" s="596">
        <v>7041638</v>
      </c>
      <c r="P13" s="144"/>
      <c r="Q13" s="144"/>
      <c r="R13" s="143"/>
    </row>
    <row r="14" spans="1:18" s="454" customFormat="1" ht="15" customHeight="1">
      <c r="A14" s="463" t="s">
        <v>404</v>
      </c>
      <c r="B14" s="459" t="s">
        <v>1104</v>
      </c>
      <c r="C14" s="461" t="s">
        <v>409</v>
      </c>
      <c r="D14" s="465" t="s">
        <v>1124</v>
      </c>
      <c r="E14" s="462"/>
      <c r="F14" s="458">
        <f t="shared" si="0"/>
        <v>145542</v>
      </c>
      <c r="G14" s="243"/>
      <c r="H14" s="243"/>
      <c r="I14" s="596">
        <v>145542</v>
      </c>
      <c r="J14" s="243"/>
      <c r="K14" s="243"/>
      <c r="L14" s="243"/>
      <c r="M14" s="243"/>
      <c r="N14" s="243"/>
      <c r="O14" s="243"/>
      <c r="P14" s="243"/>
      <c r="Q14" s="243"/>
      <c r="R14" s="143"/>
    </row>
    <row r="15" spans="1:18" s="454" customFormat="1" ht="15" customHeight="1">
      <c r="A15" s="463" t="s">
        <v>401</v>
      </c>
      <c r="B15" s="459" t="s">
        <v>1105</v>
      </c>
      <c r="C15" s="461" t="s">
        <v>410</v>
      </c>
      <c r="D15" s="465" t="s">
        <v>1124</v>
      </c>
      <c r="E15" s="462"/>
      <c r="F15" s="458">
        <f t="shared" si="0"/>
        <v>11728571</v>
      </c>
      <c r="G15" s="144"/>
      <c r="H15" s="144"/>
      <c r="I15" s="596">
        <v>12365</v>
      </c>
      <c r="J15" s="596">
        <v>853166</v>
      </c>
      <c r="K15" s="144"/>
      <c r="L15" s="144"/>
      <c r="M15" s="144"/>
      <c r="N15" s="144"/>
      <c r="O15" s="144"/>
      <c r="P15" s="144"/>
      <c r="Q15" s="596">
        <v>10863040</v>
      </c>
      <c r="R15" s="143"/>
    </row>
    <row r="16" spans="1:18" s="454" customFormat="1" ht="15" customHeight="1">
      <c r="A16" s="463" t="s">
        <v>401</v>
      </c>
      <c r="B16" s="459" t="s">
        <v>1106</v>
      </c>
      <c r="C16" s="461" t="s">
        <v>411</v>
      </c>
      <c r="D16" s="465" t="s">
        <v>1124</v>
      </c>
      <c r="E16" s="462">
        <f>'7.a.mell'!D6+'7.a.mell'!D74</f>
        <v>796048413</v>
      </c>
      <c r="F16" s="458">
        <f t="shared" si="0"/>
        <v>0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143"/>
    </row>
    <row r="17" spans="1:18" s="454" customFormat="1" ht="15" customHeight="1">
      <c r="A17" s="463" t="s">
        <v>401</v>
      </c>
      <c r="B17" s="459" t="s">
        <v>541</v>
      </c>
      <c r="C17" s="461" t="s">
        <v>412</v>
      </c>
      <c r="D17" s="465" t="s">
        <v>1124</v>
      </c>
      <c r="E17" s="462">
        <f>'7.a.mell'!D13</f>
        <v>16680000</v>
      </c>
      <c r="F17" s="458">
        <f t="shared" si="0"/>
        <v>225560825</v>
      </c>
      <c r="G17" s="243"/>
      <c r="H17" s="243"/>
      <c r="I17" s="243"/>
      <c r="J17" s="596">
        <v>565000</v>
      </c>
      <c r="K17" s="243"/>
      <c r="L17" s="243"/>
      <c r="M17" s="243"/>
      <c r="N17" s="243"/>
      <c r="O17" s="243"/>
      <c r="P17" s="243"/>
      <c r="Q17" s="243"/>
      <c r="R17" s="144">
        <v>224995825</v>
      </c>
    </row>
    <row r="18" spans="1:18" s="454" customFormat="1" ht="15" customHeight="1">
      <c r="A18" s="463" t="s">
        <v>404</v>
      </c>
      <c r="B18" s="459" t="s">
        <v>1107</v>
      </c>
      <c r="C18" s="461" t="s">
        <v>413</v>
      </c>
      <c r="D18" s="465" t="s">
        <v>1124</v>
      </c>
      <c r="E18" s="462"/>
      <c r="F18" s="458">
        <f t="shared" si="0"/>
        <v>0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3"/>
    </row>
    <row r="19" spans="1:18" s="454" customFormat="1" ht="15" customHeight="1">
      <c r="A19" s="463" t="s">
        <v>403</v>
      </c>
      <c r="B19" s="459" t="s">
        <v>542</v>
      </c>
      <c r="C19" s="461" t="s">
        <v>414</v>
      </c>
      <c r="D19" s="465" t="s">
        <v>1124</v>
      </c>
      <c r="E19" s="462"/>
      <c r="F19" s="458">
        <f t="shared" si="0"/>
        <v>2173333</v>
      </c>
      <c r="G19" s="243"/>
      <c r="H19" s="243"/>
      <c r="I19" s="596">
        <v>1873333</v>
      </c>
      <c r="J19" s="596">
        <v>300000</v>
      </c>
      <c r="K19" s="243"/>
      <c r="L19" s="243"/>
      <c r="M19" s="243"/>
      <c r="N19" s="243"/>
      <c r="O19" s="243"/>
      <c r="P19" s="243"/>
      <c r="Q19" s="243"/>
      <c r="R19" s="143"/>
    </row>
    <row r="20" spans="1:18" s="454" customFormat="1" ht="15" customHeight="1">
      <c r="A20" s="463" t="s">
        <v>403</v>
      </c>
      <c r="B20" s="459" t="s">
        <v>1108</v>
      </c>
      <c r="C20" s="461" t="s">
        <v>415</v>
      </c>
      <c r="D20" s="465" t="s">
        <v>1124</v>
      </c>
      <c r="E20" s="462"/>
      <c r="F20" s="458">
        <f t="shared" si="0"/>
        <v>0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143"/>
    </row>
    <row r="21" spans="1:18" ht="15" customHeight="1">
      <c r="A21" s="463" t="s">
        <v>404</v>
      </c>
      <c r="B21" s="459" t="s">
        <v>544</v>
      </c>
      <c r="C21" s="461" t="s">
        <v>416</v>
      </c>
      <c r="D21" s="465" t="s">
        <v>1124</v>
      </c>
      <c r="E21" s="462"/>
      <c r="F21" s="458">
        <f t="shared" si="0"/>
        <v>1729306</v>
      </c>
      <c r="G21" s="596">
        <v>1397174</v>
      </c>
      <c r="H21" s="596">
        <v>332132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3"/>
    </row>
    <row r="22" spans="1:18" s="454" customFormat="1" ht="15" customHeight="1">
      <c r="A22" s="463" t="s">
        <v>403</v>
      </c>
      <c r="B22" s="459" t="s">
        <v>1109</v>
      </c>
      <c r="C22" s="461" t="s">
        <v>417</v>
      </c>
      <c r="D22" s="465" t="s">
        <v>1124</v>
      </c>
      <c r="E22" s="462"/>
      <c r="F22" s="458">
        <f t="shared" si="0"/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3"/>
    </row>
    <row r="23" spans="1:18" s="454" customFormat="1" ht="15" customHeight="1">
      <c r="A23" s="463" t="s">
        <v>404</v>
      </c>
      <c r="B23" s="459" t="s">
        <v>1131</v>
      </c>
      <c r="C23" s="461" t="s">
        <v>1132</v>
      </c>
      <c r="D23" s="465" t="s">
        <v>1124</v>
      </c>
      <c r="E23" s="462"/>
      <c r="F23" s="458">
        <f t="shared" si="0"/>
        <v>18588042</v>
      </c>
      <c r="G23" s="144"/>
      <c r="H23" s="144"/>
      <c r="I23" s="144"/>
      <c r="J23" s="144"/>
      <c r="K23" s="144"/>
      <c r="L23" s="144"/>
      <c r="M23" s="144"/>
      <c r="N23" s="144">
        <v>18588042</v>
      </c>
      <c r="O23" s="144"/>
      <c r="P23" s="144"/>
      <c r="Q23" s="144"/>
      <c r="R23" s="143"/>
    </row>
    <row r="24" spans="1:18" s="454" customFormat="1" ht="15" customHeight="1">
      <c r="A24" s="463" t="s">
        <v>403</v>
      </c>
      <c r="B24" s="459" t="s">
        <v>1110</v>
      </c>
      <c r="C24" s="461" t="s">
        <v>418</v>
      </c>
      <c r="D24" s="465" t="s">
        <v>1124</v>
      </c>
      <c r="E24" s="462"/>
      <c r="F24" s="458">
        <f t="shared" si="0"/>
        <v>13646854</v>
      </c>
      <c r="G24" s="144"/>
      <c r="H24" s="144"/>
      <c r="I24" s="596">
        <v>13646854</v>
      </c>
      <c r="J24" s="144"/>
      <c r="K24" s="144"/>
      <c r="L24" s="144"/>
      <c r="M24" s="144"/>
      <c r="N24" s="144"/>
      <c r="O24" s="144"/>
      <c r="P24" s="144"/>
      <c r="Q24" s="144"/>
      <c r="R24" s="143"/>
    </row>
    <row r="25" spans="1:18" s="454" customFormat="1" ht="15" customHeight="1">
      <c r="A25" s="463" t="s">
        <v>404</v>
      </c>
      <c r="B25" s="459" t="s">
        <v>419</v>
      </c>
      <c r="C25" s="461" t="s">
        <v>420</v>
      </c>
      <c r="D25" s="465" t="s">
        <v>1124</v>
      </c>
      <c r="E25" s="462"/>
      <c r="F25" s="458">
        <f t="shared" si="0"/>
        <v>0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3"/>
    </row>
    <row r="26" spans="1:18" s="454" customFormat="1" ht="14.25" customHeight="1">
      <c r="A26" s="463" t="s">
        <v>404</v>
      </c>
      <c r="B26" s="459" t="s">
        <v>1111</v>
      </c>
      <c r="C26" s="464" t="s">
        <v>421</v>
      </c>
      <c r="D26" s="465" t="s">
        <v>1124</v>
      </c>
      <c r="E26" s="462"/>
      <c r="F26" s="458">
        <f t="shared" si="0"/>
        <v>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3"/>
    </row>
    <row r="27" spans="1:18" s="454" customFormat="1" ht="15" customHeight="1">
      <c r="A27" s="463" t="s">
        <v>404</v>
      </c>
      <c r="B27" s="459" t="s">
        <v>1112</v>
      </c>
      <c r="C27" s="461" t="s">
        <v>422</v>
      </c>
      <c r="D27" s="465" t="s">
        <v>1124</v>
      </c>
      <c r="E27" s="462"/>
      <c r="F27" s="458">
        <f t="shared" si="0"/>
        <v>1233240</v>
      </c>
      <c r="G27" s="144"/>
      <c r="H27" s="144"/>
      <c r="I27" s="144"/>
      <c r="J27" s="144"/>
      <c r="K27" s="144"/>
      <c r="L27" s="144"/>
      <c r="M27" s="144"/>
      <c r="N27" s="596">
        <v>1233240</v>
      </c>
      <c r="O27" s="144"/>
      <c r="P27" s="144"/>
      <c r="Q27" s="144"/>
      <c r="R27" s="143"/>
    </row>
    <row r="28" spans="1:18" s="454" customFormat="1" ht="15" customHeight="1">
      <c r="A28" s="463" t="s">
        <v>404</v>
      </c>
      <c r="B28" s="459" t="s">
        <v>1113</v>
      </c>
      <c r="C28" s="461" t="s">
        <v>423</v>
      </c>
      <c r="D28" s="465" t="s">
        <v>1124</v>
      </c>
      <c r="E28" s="462"/>
      <c r="F28" s="458">
        <f t="shared" si="0"/>
        <v>0</v>
      </c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143"/>
    </row>
    <row r="29" spans="1:18" s="454" customFormat="1" ht="15" customHeight="1">
      <c r="A29" s="463" t="s">
        <v>404</v>
      </c>
      <c r="B29" s="459" t="s">
        <v>1113</v>
      </c>
      <c r="C29" s="461" t="s">
        <v>424</v>
      </c>
      <c r="D29" s="465" t="s">
        <v>1124</v>
      </c>
      <c r="E29" s="462"/>
      <c r="F29" s="458">
        <f t="shared" si="0"/>
        <v>0</v>
      </c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143"/>
    </row>
    <row r="30" spans="1:18" s="454" customFormat="1" ht="15" customHeight="1">
      <c r="A30" s="463" t="s">
        <v>404</v>
      </c>
      <c r="B30" s="459" t="s">
        <v>547</v>
      </c>
      <c r="C30" s="461" t="s">
        <v>425</v>
      </c>
      <c r="D30" s="465" t="s">
        <v>1124</v>
      </c>
      <c r="E30" s="462"/>
      <c r="F30" s="458">
        <f t="shared" si="0"/>
        <v>0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143"/>
    </row>
    <row r="31" spans="1:18" s="454" customFormat="1" ht="15" customHeight="1">
      <c r="A31" s="463" t="s">
        <v>404</v>
      </c>
      <c r="B31" s="459" t="s">
        <v>1114</v>
      </c>
      <c r="C31" s="461" t="s">
        <v>426</v>
      </c>
      <c r="D31" s="465" t="s">
        <v>1124</v>
      </c>
      <c r="E31" s="462">
        <f>'7.a.mell'!D20</f>
        <v>74900000</v>
      </c>
      <c r="F31" s="458">
        <f t="shared" si="0"/>
        <v>4097401</v>
      </c>
      <c r="G31" s="243"/>
      <c r="H31" s="243"/>
      <c r="I31" s="243">
        <v>4097401</v>
      </c>
      <c r="J31" s="243"/>
      <c r="K31" s="243"/>
      <c r="L31" s="243"/>
      <c r="M31" s="243"/>
      <c r="N31" s="243"/>
      <c r="O31" s="243"/>
      <c r="P31" s="243"/>
      <c r="Q31" s="243"/>
      <c r="R31" s="143"/>
    </row>
    <row r="32" spans="1:18" s="454" customFormat="1" ht="15" customHeight="1">
      <c r="A32" s="463" t="s">
        <v>404</v>
      </c>
      <c r="B32" s="459" t="s">
        <v>1115</v>
      </c>
      <c r="C32" s="465" t="s">
        <v>427</v>
      </c>
      <c r="D32" s="465" t="s">
        <v>1124</v>
      </c>
      <c r="E32" s="462"/>
      <c r="F32" s="458">
        <f t="shared" si="0"/>
        <v>0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3"/>
    </row>
    <row r="33" spans="1:18" s="454" customFormat="1" ht="15" customHeight="1">
      <c r="A33" s="463" t="s">
        <v>403</v>
      </c>
      <c r="B33" s="459" t="s">
        <v>1116</v>
      </c>
      <c r="C33" s="461" t="s">
        <v>428</v>
      </c>
      <c r="D33" s="465" t="s">
        <v>1124</v>
      </c>
      <c r="E33" s="462"/>
      <c r="F33" s="458">
        <f t="shared" si="0"/>
        <v>11066008</v>
      </c>
      <c r="G33" s="243"/>
      <c r="H33" s="243"/>
      <c r="I33" s="243">
        <v>10743936</v>
      </c>
      <c r="J33" s="243"/>
      <c r="K33" s="243"/>
      <c r="L33" s="243"/>
      <c r="M33" s="243"/>
      <c r="N33" s="243">
        <v>322072</v>
      </c>
      <c r="O33" s="603"/>
      <c r="P33" s="243"/>
      <c r="Q33" s="243"/>
      <c r="R33" s="143"/>
    </row>
    <row r="34" spans="1:18" s="454" customFormat="1" ht="15" customHeight="1">
      <c r="A34" s="463" t="s">
        <v>403</v>
      </c>
      <c r="B34" s="459" t="s">
        <v>1117</v>
      </c>
      <c r="C34" s="461" t="s">
        <v>429</v>
      </c>
      <c r="D34" s="465" t="s">
        <v>1124</v>
      </c>
      <c r="E34" s="462"/>
      <c r="F34" s="458">
        <f t="shared" si="0"/>
        <v>866144</v>
      </c>
      <c r="G34" s="144"/>
      <c r="H34" s="144"/>
      <c r="I34" s="144">
        <v>866144</v>
      </c>
      <c r="J34" s="144"/>
      <c r="K34" s="144"/>
      <c r="L34" s="144"/>
      <c r="M34" s="144"/>
      <c r="N34" s="144"/>
      <c r="O34" s="144"/>
      <c r="P34" s="144"/>
      <c r="Q34" s="144"/>
      <c r="R34" s="143"/>
    </row>
    <row r="35" spans="1:18" s="454" customFormat="1" ht="15" customHeight="1">
      <c r="A35" s="463" t="s">
        <v>403</v>
      </c>
      <c r="B35" s="459" t="s">
        <v>549</v>
      </c>
      <c r="C35" s="461" t="s">
        <v>430</v>
      </c>
      <c r="D35" s="465" t="s">
        <v>1124</v>
      </c>
      <c r="E35" s="462"/>
      <c r="F35" s="458">
        <f t="shared" si="0"/>
        <v>92048158</v>
      </c>
      <c r="G35" s="596">
        <v>6456842</v>
      </c>
      <c r="H35" s="596">
        <v>1243341</v>
      </c>
      <c r="I35" s="596">
        <v>3114175</v>
      </c>
      <c r="J35" s="596">
        <v>79405000</v>
      </c>
      <c r="K35" s="243"/>
      <c r="L35" s="243"/>
      <c r="M35" s="243"/>
      <c r="N35" s="596">
        <v>1828800</v>
      </c>
      <c r="O35" s="243"/>
      <c r="P35" s="243"/>
      <c r="Q35" s="243"/>
      <c r="R35" s="143"/>
    </row>
    <row r="36" spans="1:18" s="454" customFormat="1" ht="15" customHeight="1">
      <c r="A36" s="463" t="s">
        <v>404</v>
      </c>
      <c r="B36" s="459" t="s">
        <v>431</v>
      </c>
      <c r="C36" s="461" t="s">
        <v>432</v>
      </c>
      <c r="D36" s="465" t="s">
        <v>1124</v>
      </c>
      <c r="E36" s="462"/>
      <c r="F36" s="458">
        <f t="shared" si="0"/>
        <v>1295124</v>
      </c>
      <c r="G36" s="243"/>
      <c r="H36" s="243"/>
      <c r="I36" s="596">
        <v>1217454</v>
      </c>
      <c r="J36" s="243"/>
      <c r="K36" s="243"/>
      <c r="L36" s="243"/>
      <c r="M36" s="243"/>
      <c r="N36" s="243">
        <v>77670</v>
      </c>
      <c r="O36" s="603"/>
      <c r="P36" s="243"/>
      <c r="Q36" s="243"/>
      <c r="R36" s="143"/>
    </row>
    <row r="37" spans="1:18" s="454" customFormat="1" ht="15" customHeight="1">
      <c r="A37" s="463" t="s">
        <v>404</v>
      </c>
      <c r="B37" s="459" t="s">
        <v>1122</v>
      </c>
      <c r="C37" s="461" t="s">
        <v>1123</v>
      </c>
      <c r="D37" s="465" t="s">
        <v>1124</v>
      </c>
      <c r="E37" s="462"/>
      <c r="F37" s="458">
        <f t="shared" si="0"/>
        <v>800000</v>
      </c>
      <c r="G37" s="243"/>
      <c r="H37" s="243"/>
      <c r="I37" s="596"/>
      <c r="J37" s="243">
        <v>800000</v>
      </c>
      <c r="K37" s="243"/>
      <c r="L37" s="243"/>
      <c r="M37" s="243"/>
      <c r="N37" s="243"/>
      <c r="O37" s="603"/>
      <c r="P37" s="243"/>
      <c r="Q37" s="243"/>
      <c r="R37" s="143"/>
    </row>
    <row r="38" spans="1:18" s="454" customFormat="1" ht="15" customHeight="1">
      <c r="A38" s="463" t="s">
        <v>403</v>
      </c>
      <c r="B38" s="459" t="s">
        <v>433</v>
      </c>
      <c r="C38" s="461" t="s">
        <v>434</v>
      </c>
      <c r="D38" s="465" t="s">
        <v>1124</v>
      </c>
      <c r="E38" s="462"/>
      <c r="F38" s="458">
        <f t="shared" si="0"/>
        <v>10786128</v>
      </c>
      <c r="G38" s="243">
        <v>8511725</v>
      </c>
      <c r="H38" s="243">
        <v>1702126</v>
      </c>
      <c r="I38" s="243">
        <v>572277</v>
      </c>
      <c r="J38" s="243"/>
      <c r="K38" s="243"/>
      <c r="L38" s="243"/>
      <c r="M38" s="243"/>
      <c r="N38" s="243"/>
      <c r="O38" s="603"/>
      <c r="P38" s="243"/>
      <c r="Q38" s="243"/>
      <c r="R38" s="143"/>
    </row>
    <row r="39" spans="1:18" s="454" customFormat="1" ht="15" customHeight="1">
      <c r="A39" s="463" t="s">
        <v>404</v>
      </c>
      <c r="B39" s="459" t="s">
        <v>1125</v>
      </c>
      <c r="C39" s="461" t="s">
        <v>1126</v>
      </c>
      <c r="D39" s="465" t="s">
        <v>1124</v>
      </c>
      <c r="E39" s="462"/>
      <c r="F39" s="458">
        <f t="shared" si="0"/>
        <v>2383658</v>
      </c>
      <c r="G39" s="243"/>
      <c r="H39" s="243"/>
      <c r="I39" s="243">
        <v>2383658</v>
      </c>
      <c r="J39" s="243"/>
      <c r="K39" s="243"/>
      <c r="L39" s="243"/>
      <c r="M39" s="243"/>
      <c r="N39" s="243"/>
      <c r="O39" s="603"/>
      <c r="P39" s="243"/>
      <c r="Q39" s="243"/>
      <c r="R39" s="143"/>
    </row>
    <row r="40" spans="1:18" s="454" customFormat="1" ht="15" customHeight="1">
      <c r="A40" s="463" t="s">
        <v>404</v>
      </c>
      <c r="B40" s="459" t="s">
        <v>1118</v>
      </c>
      <c r="C40" s="461" t="s">
        <v>435</v>
      </c>
      <c r="D40" s="465" t="s">
        <v>1124</v>
      </c>
      <c r="E40" s="462"/>
      <c r="F40" s="458">
        <f t="shared" si="0"/>
        <v>0</v>
      </c>
      <c r="G40" s="243"/>
      <c r="H40" s="243"/>
      <c r="I40" s="243"/>
      <c r="J40" s="243"/>
      <c r="K40" s="243"/>
      <c r="L40" s="243"/>
      <c r="M40" s="243"/>
      <c r="N40" s="243"/>
      <c r="O40" s="603"/>
      <c r="P40" s="243"/>
      <c r="Q40" s="243"/>
      <c r="R40" s="143"/>
    </row>
    <row r="41" spans="1:18" s="454" customFormat="1" ht="15" customHeight="1">
      <c r="A41" s="463" t="s">
        <v>404</v>
      </c>
      <c r="B41" s="459" t="s">
        <v>1128</v>
      </c>
      <c r="C41" s="461" t="s">
        <v>1127</v>
      </c>
      <c r="D41" s="465" t="s">
        <v>1124</v>
      </c>
      <c r="E41" s="462"/>
      <c r="F41" s="458">
        <f t="shared" si="0"/>
        <v>29290500</v>
      </c>
      <c r="G41" s="144"/>
      <c r="H41" s="144"/>
      <c r="I41" s="144"/>
      <c r="J41" s="144">
        <v>29290500</v>
      </c>
      <c r="K41" s="144"/>
      <c r="L41" s="144"/>
      <c r="M41" s="144"/>
      <c r="N41" s="144"/>
      <c r="O41" s="144"/>
      <c r="P41" s="144"/>
      <c r="Q41" s="144"/>
      <c r="R41" s="143"/>
    </row>
    <row r="42" spans="1:18" s="454" customFormat="1" ht="15" customHeight="1">
      <c r="A42" s="463" t="s">
        <v>403</v>
      </c>
      <c r="B42" s="459" t="s">
        <v>1050</v>
      </c>
      <c r="C42" s="461" t="s">
        <v>1051</v>
      </c>
      <c r="D42" s="465" t="s">
        <v>1124</v>
      </c>
      <c r="E42" s="462"/>
      <c r="F42" s="458">
        <f t="shared" si="0"/>
        <v>275307</v>
      </c>
      <c r="G42" s="243"/>
      <c r="H42" s="243"/>
      <c r="I42" s="243">
        <v>275307</v>
      </c>
      <c r="J42" s="243"/>
      <c r="K42" s="243"/>
      <c r="L42" s="243"/>
      <c r="M42" s="243"/>
      <c r="N42" s="243"/>
      <c r="O42" s="243"/>
      <c r="P42" s="243"/>
      <c r="Q42" s="243"/>
      <c r="R42" s="143"/>
    </row>
    <row r="43" spans="1:18" s="454" customFormat="1" ht="16.5" customHeight="1">
      <c r="A43" s="463" t="s">
        <v>404</v>
      </c>
      <c r="B43" s="459" t="s">
        <v>1119</v>
      </c>
      <c r="C43" s="464" t="s">
        <v>436</v>
      </c>
      <c r="D43" s="465" t="s">
        <v>1124</v>
      </c>
      <c r="E43" s="462"/>
      <c r="F43" s="458">
        <f t="shared" si="0"/>
        <v>0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143"/>
    </row>
    <row r="44" spans="1:18" s="454" customFormat="1" ht="16.5" customHeight="1">
      <c r="A44" s="463" t="s">
        <v>404</v>
      </c>
      <c r="B44" s="459" t="s">
        <v>1129</v>
      </c>
      <c r="C44" s="461" t="s">
        <v>1130</v>
      </c>
      <c r="D44" s="465" t="s">
        <v>1124</v>
      </c>
      <c r="E44" s="462"/>
      <c r="F44" s="458">
        <f t="shared" si="0"/>
        <v>162605</v>
      </c>
      <c r="G44" s="243"/>
      <c r="H44" s="243"/>
      <c r="I44" s="243">
        <v>162605</v>
      </c>
      <c r="J44" s="243"/>
      <c r="K44" s="243"/>
      <c r="L44" s="243"/>
      <c r="M44" s="243"/>
      <c r="N44" s="243"/>
      <c r="O44" s="243"/>
      <c r="P44" s="243"/>
      <c r="Q44" s="243"/>
      <c r="R44" s="143"/>
    </row>
    <row r="45" spans="1:18" s="454" customFormat="1" ht="15" customHeight="1">
      <c r="A45" s="463" t="s">
        <v>404</v>
      </c>
      <c r="B45" s="459" t="s">
        <v>1120</v>
      </c>
      <c r="C45" s="461" t="s">
        <v>437</v>
      </c>
      <c r="D45" s="465" t="s">
        <v>1124</v>
      </c>
      <c r="E45" s="462"/>
      <c r="F45" s="458">
        <f t="shared" si="0"/>
        <v>0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143"/>
    </row>
    <row r="46" spans="1:18" s="454" customFormat="1" ht="15" customHeight="1">
      <c r="A46" s="463" t="s">
        <v>404</v>
      </c>
      <c r="B46" s="459" t="s">
        <v>438</v>
      </c>
      <c r="C46" s="461" t="s">
        <v>439</v>
      </c>
      <c r="D46" s="465" t="s">
        <v>1124</v>
      </c>
      <c r="E46" s="462"/>
      <c r="F46" s="458">
        <f t="shared" si="0"/>
        <v>0</v>
      </c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143"/>
    </row>
    <row r="47" spans="1:18" s="454" customFormat="1" ht="15" customHeight="1">
      <c r="A47" s="463" t="s">
        <v>404</v>
      </c>
      <c r="B47" s="459" t="s">
        <v>440</v>
      </c>
      <c r="C47" s="461" t="s">
        <v>441</v>
      </c>
      <c r="D47" s="465" t="s">
        <v>1124</v>
      </c>
      <c r="E47" s="462"/>
      <c r="F47" s="458">
        <f t="shared" si="0"/>
        <v>0</v>
      </c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143"/>
    </row>
    <row r="48" spans="1:18" s="454" customFormat="1" ht="15" customHeight="1">
      <c r="A48" s="463" t="s">
        <v>404</v>
      </c>
      <c r="B48" s="459" t="s">
        <v>442</v>
      </c>
      <c r="C48" s="461" t="s">
        <v>443</v>
      </c>
      <c r="D48" s="465" t="s">
        <v>1124</v>
      </c>
      <c r="E48" s="462"/>
      <c r="F48" s="458">
        <f t="shared" si="0"/>
        <v>0</v>
      </c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143"/>
    </row>
    <row r="49" spans="1:18" s="454" customFormat="1" ht="15" customHeight="1">
      <c r="A49" s="463" t="s">
        <v>404</v>
      </c>
      <c r="B49" s="459" t="s">
        <v>554</v>
      </c>
      <c r="C49" s="461" t="s">
        <v>444</v>
      </c>
      <c r="D49" s="465" t="s">
        <v>1124</v>
      </c>
      <c r="E49" s="462"/>
      <c r="F49" s="458">
        <f t="shared" si="0"/>
        <v>0</v>
      </c>
      <c r="G49" s="243"/>
      <c r="H49" s="243"/>
      <c r="I49" s="243"/>
      <c r="J49" s="243"/>
      <c r="K49" s="243"/>
      <c r="L49" s="243"/>
      <c r="M49" s="243"/>
      <c r="N49" s="243"/>
      <c r="O49" s="603"/>
      <c r="P49" s="243"/>
      <c r="Q49" s="243"/>
      <c r="R49" s="143"/>
    </row>
    <row r="50" spans="1:18" s="454" customFormat="1" ht="15" customHeight="1">
      <c r="A50" s="463" t="s">
        <v>403</v>
      </c>
      <c r="B50" s="459" t="s">
        <v>557</v>
      </c>
      <c r="C50" s="461" t="s">
        <v>445</v>
      </c>
      <c r="D50" s="465" t="s">
        <v>1124</v>
      </c>
      <c r="E50" s="462"/>
      <c r="F50" s="458">
        <f t="shared" si="0"/>
        <v>0</v>
      </c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143"/>
    </row>
    <row r="51" spans="1:18" s="454" customFormat="1" ht="15" customHeight="1">
      <c r="A51" s="463" t="s">
        <v>404</v>
      </c>
      <c r="B51" s="459" t="s">
        <v>557</v>
      </c>
      <c r="C51" s="461" t="s">
        <v>445</v>
      </c>
      <c r="D51" s="465" t="s">
        <v>1124</v>
      </c>
      <c r="E51" s="462"/>
      <c r="F51" s="458">
        <f t="shared" si="0"/>
        <v>673767</v>
      </c>
      <c r="G51" s="243"/>
      <c r="H51" s="243"/>
      <c r="I51" s="243">
        <v>211267</v>
      </c>
      <c r="J51" s="243">
        <v>462500</v>
      </c>
      <c r="K51" s="243"/>
      <c r="L51" s="243"/>
      <c r="M51" s="243"/>
      <c r="N51" s="243"/>
      <c r="O51" s="243"/>
      <c r="P51" s="243"/>
      <c r="Q51" s="243"/>
      <c r="R51" s="143"/>
    </row>
    <row r="52" spans="1:18" s="454" customFormat="1" ht="15" customHeight="1">
      <c r="A52" s="463" t="s">
        <v>403</v>
      </c>
      <c r="B52" s="459" t="s">
        <v>1121</v>
      </c>
      <c r="C52" s="461" t="s">
        <v>1052</v>
      </c>
      <c r="D52" s="465" t="s">
        <v>1124</v>
      </c>
      <c r="E52" s="462"/>
      <c r="F52" s="458">
        <f t="shared" si="0"/>
        <v>877200</v>
      </c>
      <c r="G52" s="243"/>
      <c r="H52" s="243"/>
      <c r="I52" s="243">
        <v>877200</v>
      </c>
      <c r="J52" s="243"/>
      <c r="K52" s="243"/>
      <c r="L52" s="243"/>
      <c r="M52" s="243"/>
      <c r="N52" s="243"/>
      <c r="O52" s="243"/>
      <c r="P52" s="243"/>
      <c r="Q52" s="243"/>
      <c r="R52" s="143"/>
    </row>
    <row r="53" spans="1:19" ht="15" customHeight="1">
      <c r="A53" s="463"/>
      <c r="B53" s="710" t="s">
        <v>446</v>
      </c>
      <c r="C53" s="710"/>
      <c r="D53" s="466" t="s">
        <v>1124</v>
      </c>
      <c r="E53" s="460">
        <f>SUM(E9:E52)</f>
        <v>1520657993</v>
      </c>
      <c r="F53" s="458">
        <f t="shared" si="0"/>
        <v>644485437</v>
      </c>
      <c r="G53" s="144">
        <f aca="true" t="shared" si="1" ref="G53:R53">SUM(G9:G52)</f>
        <v>33875349</v>
      </c>
      <c r="H53" s="144">
        <f t="shared" si="1"/>
        <v>6168122</v>
      </c>
      <c r="I53" s="144">
        <f t="shared" si="1"/>
        <v>84748653</v>
      </c>
      <c r="J53" s="144">
        <f t="shared" si="1"/>
        <v>112438931</v>
      </c>
      <c r="K53" s="144">
        <f t="shared" si="1"/>
        <v>0</v>
      </c>
      <c r="L53" s="144">
        <f t="shared" si="1"/>
        <v>0</v>
      </c>
      <c r="M53" s="144">
        <f t="shared" si="1"/>
        <v>0</v>
      </c>
      <c r="N53" s="144">
        <f t="shared" si="1"/>
        <v>164353879</v>
      </c>
      <c r="O53" s="144">
        <f t="shared" si="1"/>
        <v>7041638</v>
      </c>
      <c r="P53" s="144">
        <f t="shared" si="1"/>
        <v>0</v>
      </c>
      <c r="Q53" s="144">
        <f t="shared" si="1"/>
        <v>10863040</v>
      </c>
      <c r="R53" s="144">
        <f t="shared" si="1"/>
        <v>224995825</v>
      </c>
      <c r="S53" s="138"/>
    </row>
    <row r="54" spans="1:18" ht="12.75">
      <c r="A54" s="463"/>
      <c r="B54" s="466"/>
      <c r="C54" s="466"/>
      <c r="D54" s="466"/>
      <c r="E54" s="462"/>
      <c r="F54" s="467"/>
      <c r="G54" s="590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3"/>
    </row>
    <row r="55" spans="1:18" ht="12.75">
      <c r="A55" s="463"/>
      <c r="B55" s="710" t="s">
        <v>447</v>
      </c>
      <c r="C55" s="710"/>
      <c r="D55" s="466" t="s">
        <v>1124</v>
      </c>
      <c r="E55" s="462"/>
      <c r="F55" s="467">
        <f>F12+F13+F14+F18+F20+F21+F24+F25+F33+F34+F35+F36+F38+F50</f>
        <v>283214686</v>
      </c>
      <c r="G55" s="594"/>
      <c r="H55" s="144"/>
      <c r="I55" s="143"/>
      <c r="J55" s="143"/>
      <c r="K55" s="143"/>
      <c r="L55" s="143"/>
      <c r="M55" s="143"/>
      <c r="N55" s="144"/>
      <c r="O55" s="144"/>
      <c r="P55" s="143"/>
      <c r="Q55" s="143"/>
      <c r="R55" s="591"/>
    </row>
    <row r="56" spans="1:18" ht="12.75">
      <c r="A56" s="463"/>
      <c r="B56" s="466"/>
      <c r="C56" s="466"/>
      <c r="D56" s="466"/>
      <c r="E56" s="462"/>
      <c r="F56" s="467"/>
      <c r="G56" s="595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591"/>
    </row>
    <row r="57" spans="1:18" ht="12.75">
      <c r="A57" s="463"/>
      <c r="B57" s="710" t="s">
        <v>448</v>
      </c>
      <c r="C57" s="710"/>
      <c r="D57" s="466" t="s">
        <v>1124</v>
      </c>
      <c r="E57" s="462"/>
      <c r="F57" s="468">
        <f>F31+F45</f>
        <v>4097401</v>
      </c>
      <c r="G57" s="469"/>
      <c r="H57" s="143"/>
      <c r="I57" s="143"/>
      <c r="J57" s="143"/>
      <c r="K57" s="143"/>
      <c r="L57" s="143"/>
      <c r="M57" s="143"/>
      <c r="N57" s="143"/>
      <c r="O57" s="144"/>
      <c r="P57" s="143"/>
      <c r="Q57" s="143"/>
      <c r="R57" s="470"/>
    </row>
    <row r="58" spans="1:18" ht="12.75">
      <c r="A58" s="463"/>
      <c r="B58" s="466"/>
      <c r="C58" s="466"/>
      <c r="D58" s="466"/>
      <c r="E58" s="462"/>
      <c r="F58" s="468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591"/>
    </row>
    <row r="59" spans="1:18" ht="13.5" thickBot="1">
      <c r="A59" s="471"/>
      <c r="B59" s="711" t="s">
        <v>449</v>
      </c>
      <c r="C59" s="711"/>
      <c r="D59" s="466" t="s">
        <v>1124</v>
      </c>
      <c r="E59" s="472"/>
      <c r="F59" s="473">
        <f>F9+F17</f>
        <v>288987127</v>
      </c>
      <c r="G59" s="474"/>
      <c r="H59" s="474"/>
      <c r="I59" s="474"/>
      <c r="J59" s="474"/>
      <c r="K59" s="474"/>
      <c r="L59" s="474"/>
      <c r="M59" s="474"/>
      <c r="N59" s="474"/>
      <c r="O59" s="475"/>
      <c r="P59" s="474"/>
      <c r="Q59" s="474"/>
      <c r="R59" s="476"/>
    </row>
    <row r="61" spans="5:10" ht="12.75">
      <c r="E61" s="477"/>
      <c r="G61" s="138"/>
      <c r="H61" s="138"/>
      <c r="J61" s="138"/>
    </row>
    <row r="62" spans="5:10" ht="12.75">
      <c r="E62" s="477"/>
      <c r="J62" s="138"/>
    </row>
    <row r="63" ht="12.75">
      <c r="N63" s="138"/>
    </row>
  </sheetData>
  <sheetProtection/>
  <mergeCells count="25">
    <mergeCell ref="B1:C1"/>
    <mergeCell ref="B3:P3"/>
    <mergeCell ref="B4:P4"/>
    <mergeCell ref="A6:D8"/>
    <mergeCell ref="E6:E8"/>
    <mergeCell ref="F6:F8"/>
    <mergeCell ref="G6:L6"/>
    <mergeCell ref="M6:P6"/>
    <mergeCell ref="P7:P8"/>
    <mergeCell ref="Q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R7:R8"/>
    <mergeCell ref="B53:C53"/>
    <mergeCell ref="B55:C55"/>
    <mergeCell ref="B57:C57"/>
    <mergeCell ref="B59:C59"/>
  </mergeCells>
  <printOptions/>
  <pageMargins left="0.7" right="0.7" top="0.75" bottom="0.75" header="0.3" footer="0.3"/>
  <pageSetup fitToHeight="1" fitToWidth="1" horizontalDpi="600" verticalDpi="600" orientation="landscape" paperSize="9" scale="41" r:id="rId1"/>
  <headerFooter>
    <oddHeader>&amp;Ra 12/2020. (VII. 10.) önkormányzati rendelet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showZeros="0" view="pageBreakPreview" zoomScale="85" zoomScaleNormal="80" zoomScaleSheetLayoutView="85" workbookViewId="0" topLeftCell="B19">
      <selection activeCell="A1" sqref="A1"/>
    </sheetView>
  </sheetViews>
  <sheetFormatPr defaultColWidth="9.00390625" defaultRowHeight="12.75"/>
  <cols>
    <col min="1" max="1" width="101.125" style="550" customWidth="1"/>
    <col min="2" max="13" width="22.375" style="550" customWidth="1"/>
    <col min="14" max="16384" width="9.375" style="550" customWidth="1"/>
  </cols>
  <sheetData>
    <row r="1" ht="15">
      <c r="A1" s="558"/>
    </row>
    <row r="2" spans="1:13" ht="15">
      <c r="A2" s="740" t="s">
        <v>995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</row>
    <row r="3" ht="15.75" thickBot="1"/>
    <row r="4" spans="1:13" ht="104.25" customHeight="1" thickBot="1">
      <c r="A4" s="732" t="s">
        <v>42</v>
      </c>
      <c r="B4" s="734" t="s">
        <v>35</v>
      </c>
      <c r="C4" s="735"/>
      <c r="D4" s="736"/>
      <c r="E4" s="734" t="s">
        <v>450</v>
      </c>
      <c r="F4" s="735"/>
      <c r="G4" s="736"/>
      <c r="H4" s="734" t="s">
        <v>451</v>
      </c>
      <c r="I4" s="735"/>
      <c r="J4" s="735"/>
      <c r="K4" s="737" t="s">
        <v>452</v>
      </c>
      <c r="L4" s="738"/>
      <c r="M4" s="739"/>
    </row>
    <row r="5" spans="1:13" ht="28.5">
      <c r="A5" s="733"/>
      <c r="B5" s="569" t="s">
        <v>406</v>
      </c>
      <c r="C5" s="569" t="s">
        <v>1080</v>
      </c>
      <c r="D5" s="569" t="s">
        <v>1088</v>
      </c>
      <c r="E5" s="569" t="s">
        <v>406</v>
      </c>
      <c r="F5" s="569" t="s">
        <v>1080</v>
      </c>
      <c r="G5" s="569" t="s">
        <v>1088</v>
      </c>
      <c r="H5" s="569" t="s">
        <v>406</v>
      </c>
      <c r="I5" s="569" t="s">
        <v>1080</v>
      </c>
      <c r="J5" s="569" t="s">
        <v>1088</v>
      </c>
      <c r="K5" s="570" t="s">
        <v>406</v>
      </c>
      <c r="L5" s="571" t="s">
        <v>1080</v>
      </c>
      <c r="M5" s="578" t="s">
        <v>1088</v>
      </c>
    </row>
    <row r="6" spans="1:13" s="558" customFormat="1" ht="24" customHeight="1">
      <c r="A6" s="145" t="s">
        <v>453</v>
      </c>
      <c r="B6" s="146">
        <f aca="true" t="shared" si="0" ref="B6:J6">SUM(B7)</f>
        <v>224180800</v>
      </c>
      <c r="C6" s="146">
        <f t="shared" si="0"/>
        <v>227606715</v>
      </c>
      <c r="D6" s="146">
        <f t="shared" si="0"/>
        <v>127521734</v>
      </c>
      <c r="E6" s="146">
        <f t="shared" si="0"/>
        <v>0</v>
      </c>
      <c r="F6" s="146">
        <f t="shared" si="0"/>
        <v>0</v>
      </c>
      <c r="G6" s="146">
        <f t="shared" si="0"/>
        <v>0</v>
      </c>
      <c r="H6" s="147">
        <f t="shared" si="0"/>
        <v>0</v>
      </c>
      <c r="I6" s="147">
        <f t="shared" si="0"/>
        <v>0</v>
      </c>
      <c r="J6" s="147">
        <f t="shared" si="0"/>
        <v>0</v>
      </c>
      <c r="K6" s="147">
        <f>B6+E6+H6</f>
        <v>224180800</v>
      </c>
      <c r="L6" s="147">
        <f>C6+F6+I6</f>
        <v>227606715</v>
      </c>
      <c r="M6" s="579">
        <f>D6+G6+J6</f>
        <v>127521734</v>
      </c>
    </row>
    <row r="7" spans="1:13" s="572" customFormat="1" ht="18" customHeight="1">
      <c r="A7" s="148" t="s">
        <v>454</v>
      </c>
      <c r="B7" s="149">
        <f>'7.a.mell'!D6</f>
        <v>224180800</v>
      </c>
      <c r="C7" s="149">
        <f>'7.a.mell'!E6</f>
        <v>227606715</v>
      </c>
      <c r="D7" s="149">
        <f>'7.a.mell'!F6</f>
        <v>127521734</v>
      </c>
      <c r="E7" s="149">
        <v>0</v>
      </c>
      <c r="F7" s="149">
        <v>0</v>
      </c>
      <c r="G7" s="149">
        <v>0</v>
      </c>
      <c r="H7" s="150">
        <v>0</v>
      </c>
      <c r="I7" s="478">
        <v>0</v>
      </c>
      <c r="J7" s="478">
        <v>0</v>
      </c>
      <c r="K7" s="150">
        <f aca="true" t="shared" si="1" ref="K7:K46">B7+E7+H7</f>
        <v>224180800</v>
      </c>
      <c r="L7" s="478">
        <f aca="true" t="shared" si="2" ref="L7:M46">C7+F7+I7</f>
        <v>227606715</v>
      </c>
      <c r="M7" s="580">
        <f t="shared" si="2"/>
        <v>127521734</v>
      </c>
    </row>
    <row r="8" spans="1:13" s="558" customFormat="1" ht="18" customHeight="1">
      <c r="A8" s="151" t="s">
        <v>455</v>
      </c>
      <c r="B8" s="146">
        <f>SUM(B9:B10)</f>
        <v>16680000</v>
      </c>
      <c r="C8" s="146">
        <f>SUM(C9:C10)</f>
        <v>16680000</v>
      </c>
      <c r="D8" s="146">
        <f>SUM(D9:D10)</f>
        <v>9755874</v>
      </c>
      <c r="E8" s="146">
        <f aca="true" t="shared" si="3" ref="E8:J8">SUM(E9:E10)</f>
        <v>0</v>
      </c>
      <c r="F8" s="146">
        <f t="shared" si="3"/>
        <v>0</v>
      </c>
      <c r="G8" s="146">
        <f t="shared" si="3"/>
        <v>0</v>
      </c>
      <c r="H8" s="146">
        <f t="shared" si="3"/>
        <v>0</v>
      </c>
      <c r="I8" s="146">
        <f t="shared" si="3"/>
        <v>0</v>
      </c>
      <c r="J8" s="146">
        <f t="shared" si="3"/>
        <v>0</v>
      </c>
      <c r="K8" s="146">
        <f t="shared" si="1"/>
        <v>16680000</v>
      </c>
      <c r="L8" s="146">
        <f t="shared" si="2"/>
        <v>16680000</v>
      </c>
      <c r="M8" s="581">
        <f t="shared" si="2"/>
        <v>9755874</v>
      </c>
    </row>
    <row r="9" spans="1:13" ht="18" customHeight="1">
      <c r="A9" s="148" t="s">
        <v>456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f>+'10.mell'!D22+'11.mell'!D22+'12.mell'!D22+'13.mell'!D22</f>
        <v>0</v>
      </c>
      <c r="I9" s="149">
        <f>+'10.mell'!E22+'11.mell'!E22+'12.mell'!E22+'13.mell'!E22</f>
        <v>0</v>
      </c>
      <c r="J9" s="149">
        <f>+'10.mell'!F22+'11.mell'!F22+'12.mell'!F22+'13.mell'!F22</f>
        <v>0</v>
      </c>
      <c r="K9" s="149">
        <f t="shared" si="1"/>
        <v>0</v>
      </c>
      <c r="L9" s="149">
        <f t="shared" si="2"/>
        <v>0</v>
      </c>
      <c r="M9" s="582">
        <f t="shared" si="2"/>
        <v>0</v>
      </c>
    </row>
    <row r="10" spans="1:13" ht="18" customHeight="1">
      <c r="A10" s="148" t="s">
        <v>457</v>
      </c>
      <c r="B10" s="149">
        <f>'7.a.mell'!D13</f>
        <v>16680000</v>
      </c>
      <c r="C10" s="149">
        <f>'7.a.mell'!E13</f>
        <v>16680000</v>
      </c>
      <c r="D10" s="149">
        <f>'7.a.mell'!F13</f>
        <v>9755874</v>
      </c>
      <c r="E10" s="149">
        <f>+'7.mell'!D20</f>
        <v>0</v>
      </c>
      <c r="F10" s="149">
        <f>+'7.mell'!E20</f>
        <v>0</v>
      </c>
      <c r="G10" s="149">
        <f>+'7.mell'!F20</f>
        <v>0</v>
      </c>
      <c r="H10" s="150">
        <f>+'10.mell'!D21+'10.mell'!D23+'11.mell'!D21+'11.mell'!D23+'12.mell'!D21+'12.mell'!D23+'13.mell'!D21+'13.mell'!D23</f>
        <v>0</v>
      </c>
      <c r="I10" s="150">
        <f>+'10.mell'!E21+'10.mell'!E23+'11.mell'!E21+'11.mell'!E23+'12.mell'!E21+'12.mell'!E23+'13.mell'!E21+'13.mell'!E23</f>
        <v>0</v>
      </c>
      <c r="J10" s="150">
        <f>+'10.mell'!F21+'10.mell'!F23+'11.mell'!F21+'11.mell'!F23+'12.mell'!F21+'12.mell'!F23+'13.mell'!F21+'13.mell'!F23</f>
        <v>0</v>
      </c>
      <c r="K10" s="150">
        <f t="shared" si="1"/>
        <v>16680000</v>
      </c>
      <c r="L10" s="150">
        <f t="shared" si="2"/>
        <v>16680000</v>
      </c>
      <c r="M10" s="580">
        <f t="shared" si="2"/>
        <v>9755874</v>
      </c>
    </row>
    <row r="11" spans="1:13" s="572" customFormat="1" ht="18" customHeight="1">
      <c r="A11" s="152" t="s">
        <v>458</v>
      </c>
      <c r="B11" s="146">
        <f>B12+B13</f>
        <v>74900000</v>
      </c>
      <c r="C11" s="146">
        <f>C12+C13</f>
        <v>74900000</v>
      </c>
      <c r="D11" s="146">
        <f>D12+D13</f>
        <v>0</v>
      </c>
      <c r="E11" s="146">
        <f aca="true" t="shared" si="4" ref="E11:J11">E12+E13</f>
        <v>0</v>
      </c>
      <c r="F11" s="146">
        <f t="shared" si="4"/>
        <v>0</v>
      </c>
      <c r="G11" s="146">
        <f t="shared" si="4"/>
        <v>0</v>
      </c>
      <c r="H11" s="146">
        <f t="shared" si="4"/>
        <v>0</v>
      </c>
      <c r="I11" s="146">
        <f t="shared" si="4"/>
        <v>0</v>
      </c>
      <c r="J11" s="146">
        <f t="shared" si="4"/>
        <v>0</v>
      </c>
      <c r="K11" s="146">
        <f t="shared" si="1"/>
        <v>74900000</v>
      </c>
      <c r="L11" s="146">
        <f t="shared" si="2"/>
        <v>74900000</v>
      </c>
      <c r="M11" s="581">
        <f t="shared" si="2"/>
        <v>0</v>
      </c>
    </row>
    <row r="12" spans="1:13" s="573" customFormat="1" ht="18" customHeight="1">
      <c r="A12" s="148" t="s">
        <v>456</v>
      </c>
      <c r="B12" s="149"/>
      <c r="C12" s="149"/>
      <c r="D12" s="149"/>
      <c r="E12" s="149">
        <f>+'7.mell'!D22</f>
        <v>0</v>
      </c>
      <c r="F12" s="149">
        <f>+'7.mell'!E22</f>
        <v>0</v>
      </c>
      <c r="G12" s="149">
        <f>+'7.mell'!F22</f>
        <v>0</v>
      </c>
      <c r="H12" s="150">
        <f>+'10.mell'!D27+'11.mell'!D27+'12.mell'!D27+'13.mell'!D27</f>
        <v>0</v>
      </c>
      <c r="I12" s="150">
        <f>+'10.mell'!E27+'11.mell'!E27+'12.mell'!E27+'13.mell'!E27</f>
        <v>0</v>
      </c>
      <c r="J12" s="150">
        <f>+'10.mell'!F27+'11.mell'!F27+'12.mell'!F27+'13.mell'!F27</f>
        <v>0</v>
      </c>
      <c r="K12" s="150">
        <f t="shared" si="1"/>
        <v>0</v>
      </c>
      <c r="L12" s="150">
        <f t="shared" si="2"/>
        <v>0</v>
      </c>
      <c r="M12" s="580">
        <f t="shared" si="2"/>
        <v>0</v>
      </c>
    </row>
    <row r="13" spans="1:13" s="573" customFormat="1" ht="18" customHeight="1">
      <c r="A13" s="148" t="s">
        <v>457</v>
      </c>
      <c r="B13" s="149">
        <f>'7.a.mell'!D20</f>
        <v>74900000</v>
      </c>
      <c r="C13" s="149">
        <f>'7.a.mell'!E20</f>
        <v>74900000</v>
      </c>
      <c r="D13" s="149">
        <f>'7.a.mell'!F20</f>
        <v>0</v>
      </c>
      <c r="E13" s="149">
        <f>+'7.mell'!D27+'7.mell'!D29</f>
        <v>0</v>
      </c>
      <c r="F13" s="149">
        <f>+'7.mell'!E27+'7.mell'!E29</f>
        <v>0</v>
      </c>
      <c r="G13" s="149">
        <f>+'7.mell'!F27+'7.mell'!F29</f>
        <v>0</v>
      </c>
      <c r="H13" s="150">
        <f>+'10.mell'!D28+'11.mell'!D28+'12.mell'!D28+'13.mell'!D28</f>
        <v>0</v>
      </c>
      <c r="I13" s="150">
        <f>+'10.mell'!E28+'11.mell'!E28+'12.mell'!E28+'13.mell'!E28</f>
        <v>0</v>
      </c>
      <c r="J13" s="150">
        <f>+'10.mell'!F28+'11.mell'!F28+'12.mell'!F28+'13.mell'!F28</f>
        <v>0</v>
      </c>
      <c r="K13" s="150">
        <f t="shared" si="1"/>
        <v>74900000</v>
      </c>
      <c r="L13" s="150">
        <v>74900000</v>
      </c>
      <c r="M13" s="580">
        <v>74900000</v>
      </c>
    </row>
    <row r="14" spans="1:13" s="572" customFormat="1" ht="18" customHeight="1">
      <c r="A14" s="152" t="s">
        <v>459</v>
      </c>
      <c r="B14" s="146">
        <f aca="true" t="shared" si="5" ref="B14:J14">B15+B18+B22+B23+B24</f>
        <v>520500000</v>
      </c>
      <c r="C14" s="146">
        <f t="shared" si="5"/>
        <v>499100000</v>
      </c>
      <c r="D14" s="146">
        <f t="shared" si="5"/>
        <v>269470527</v>
      </c>
      <c r="E14" s="146">
        <f t="shared" si="5"/>
        <v>0</v>
      </c>
      <c r="F14" s="146">
        <f t="shared" si="5"/>
        <v>0</v>
      </c>
      <c r="G14" s="146">
        <f t="shared" si="5"/>
        <v>0</v>
      </c>
      <c r="H14" s="146">
        <f t="shared" si="5"/>
        <v>0</v>
      </c>
      <c r="I14" s="146">
        <f t="shared" si="5"/>
        <v>0</v>
      </c>
      <c r="J14" s="146">
        <f t="shared" si="5"/>
        <v>0</v>
      </c>
      <c r="K14" s="146">
        <f t="shared" si="1"/>
        <v>520500000</v>
      </c>
      <c r="L14" s="146">
        <f t="shared" si="2"/>
        <v>499100000</v>
      </c>
      <c r="M14" s="581">
        <f t="shared" si="2"/>
        <v>269470527</v>
      </c>
    </row>
    <row r="15" spans="1:13" s="573" customFormat="1" ht="18" customHeight="1">
      <c r="A15" s="148" t="s">
        <v>460</v>
      </c>
      <c r="B15" s="153">
        <f>SUM(B16+B17)</f>
        <v>81600000</v>
      </c>
      <c r="C15" s="153">
        <f>SUM(C16+C17)</f>
        <v>81600000</v>
      </c>
      <c r="D15" s="153">
        <f>SUM(D16+D17)</f>
        <v>47852859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f t="shared" si="1"/>
        <v>81600000</v>
      </c>
      <c r="L15" s="153">
        <f t="shared" si="2"/>
        <v>81600000</v>
      </c>
      <c r="M15" s="583">
        <f t="shared" si="2"/>
        <v>47852859</v>
      </c>
    </row>
    <row r="16" spans="1:13" s="573" customFormat="1" ht="18" customHeight="1">
      <c r="A16" s="574" t="s">
        <v>461</v>
      </c>
      <c r="B16" s="149">
        <f>+'7.a.mell'!D29</f>
        <v>31000000</v>
      </c>
      <c r="C16" s="149">
        <f>+'7.a.mell'!E29</f>
        <v>31000000</v>
      </c>
      <c r="D16" s="149">
        <f>+'7.a.mell'!F29</f>
        <v>16287144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f t="shared" si="1"/>
        <v>31000000</v>
      </c>
      <c r="L16" s="153">
        <f t="shared" si="2"/>
        <v>31000000</v>
      </c>
      <c r="M16" s="583">
        <f t="shared" si="2"/>
        <v>16287144</v>
      </c>
    </row>
    <row r="17" spans="1:13" s="573" customFormat="1" ht="18" customHeight="1">
      <c r="A17" s="575" t="s">
        <v>1034</v>
      </c>
      <c r="B17" s="153">
        <f>+'7.a.mell'!D28+'7.a.mell'!D32</f>
        <v>50600000</v>
      </c>
      <c r="C17" s="153">
        <f>+'7.a.mell'!E28+'7.a.mell'!E32</f>
        <v>50600000</v>
      </c>
      <c r="D17" s="153">
        <f>+'7.a.mell'!F28+'7.a.mell'!F32</f>
        <v>31565715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f t="shared" si="1"/>
        <v>50600000</v>
      </c>
      <c r="L17" s="153">
        <f t="shared" si="2"/>
        <v>50600000</v>
      </c>
      <c r="M17" s="583">
        <f t="shared" si="2"/>
        <v>31565715</v>
      </c>
    </row>
    <row r="18" spans="1:13" s="573" customFormat="1" ht="18" customHeight="1">
      <c r="A18" s="148" t="s">
        <v>462</v>
      </c>
      <c r="B18" s="153">
        <f>SUM(B19+B20)+B21</f>
        <v>436400000</v>
      </c>
      <c r="C18" s="153">
        <f>SUM(C19+C20)+C21</f>
        <v>415000000</v>
      </c>
      <c r="D18" s="153">
        <f>SUM(D19+D20)+D21</f>
        <v>220389137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f t="shared" si="1"/>
        <v>436400000</v>
      </c>
      <c r="L18" s="153">
        <f t="shared" si="2"/>
        <v>415000000</v>
      </c>
      <c r="M18" s="583">
        <f t="shared" si="2"/>
        <v>220389137</v>
      </c>
    </row>
    <row r="19" spans="1:13" s="573" customFormat="1" ht="18" customHeight="1">
      <c r="A19" s="574" t="s">
        <v>463</v>
      </c>
      <c r="B19" s="153">
        <f>+'7.a.mell'!D30</f>
        <v>415000000</v>
      </c>
      <c r="C19" s="153">
        <f>+'7.a.mell'!E30</f>
        <v>415000000</v>
      </c>
      <c r="D19" s="153">
        <f>+'7.a.mell'!F30</f>
        <v>220389137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f t="shared" si="1"/>
        <v>415000000</v>
      </c>
      <c r="L19" s="153">
        <f t="shared" si="2"/>
        <v>415000000</v>
      </c>
      <c r="M19" s="583">
        <f t="shared" si="2"/>
        <v>220389137</v>
      </c>
    </row>
    <row r="20" spans="1:13" s="573" customFormat="1" ht="18" customHeight="1">
      <c r="A20" s="574" t="s">
        <v>464</v>
      </c>
      <c r="B20" s="153">
        <f>+'7.a.mell'!D33</f>
        <v>21400000</v>
      </c>
      <c r="C20" s="153">
        <f>+'7.a.mell'!E33</f>
        <v>0</v>
      </c>
      <c r="D20" s="153">
        <f>+'7.a.mell'!F33</f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f t="shared" si="1"/>
        <v>21400000</v>
      </c>
      <c r="L20" s="153">
        <f t="shared" si="2"/>
        <v>0</v>
      </c>
      <c r="M20" s="583">
        <f t="shared" si="2"/>
        <v>0</v>
      </c>
    </row>
    <row r="21" spans="1:13" s="573" customFormat="1" ht="18" customHeight="1">
      <c r="A21" s="574" t="s">
        <v>465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f t="shared" si="1"/>
        <v>0</v>
      </c>
      <c r="L21" s="153">
        <f t="shared" si="2"/>
        <v>0</v>
      </c>
      <c r="M21" s="583">
        <f t="shared" si="2"/>
        <v>0</v>
      </c>
    </row>
    <row r="22" spans="1:13" ht="18" customHeight="1">
      <c r="A22" s="574" t="s">
        <v>466</v>
      </c>
      <c r="B22" s="153">
        <f>+'7.a.mell'!D31</f>
        <v>2000000</v>
      </c>
      <c r="C22" s="153">
        <f>+'7.a.mell'!E31</f>
        <v>2000000</v>
      </c>
      <c r="D22" s="153">
        <f>+'7.a.mell'!F31</f>
        <v>686010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f t="shared" si="1"/>
        <v>2000000</v>
      </c>
      <c r="L22" s="153">
        <f t="shared" si="2"/>
        <v>2000000</v>
      </c>
      <c r="M22" s="583">
        <f t="shared" si="2"/>
        <v>686010</v>
      </c>
    </row>
    <row r="23" spans="1:13" s="573" customFormat="1" ht="18" customHeight="1">
      <c r="A23" s="155" t="s">
        <v>123</v>
      </c>
      <c r="B23" s="153">
        <f>'7.a.mell'!D35</f>
        <v>250000</v>
      </c>
      <c r="C23" s="153">
        <f>'7.a.mell'!E35</f>
        <v>250000</v>
      </c>
      <c r="D23" s="153">
        <f>'7.a.mell'!F35</f>
        <v>542521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f t="shared" si="1"/>
        <v>250000</v>
      </c>
      <c r="L23" s="153">
        <f t="shared" si="2"/>
        <v>250000</v>
      </c>
      <c r="M23" s="583">
        <f t="shared" si="2"/>
        <v>542521</v>
      </c>
    </row>
    <row r="24" spans="1:13" s="573" customFormat="1" ht="18" customHeight="1">
      <c r="A24" s="155" t="s">
        <v>125</v>
      </c>
      <c r="B24" s="153">
        <f>'7.a.mell'!D36</f>
        <v>250000</v>
      </c>
      <c r="C24" s="153">
        <f>'7.a.mell'!E36</f>
        <v>250000</v>
      </c>
      <c r="D24" s="153">
        <f>'7.a.mell'!F36</f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f t="shared" si="1"/>
        <v>250000</v>
      </c>
      <c r="L24" s="153">
        <f t="shared" si="2"/>
        <v>250000</v>
      </c>
      <c r="M24" s="583">
        <f t="shared" si="2"/>
        <v>0</v>
      </c>
    </row>
    <row r="25" spans="1:13" s="558" customFormat="1" ht="18" customHeight="1">
      <c r="A25" s="151" t="s">
        <v>26</v>
      </c>
      <c r="B25" s="156">
        <f aca="true" t="shared" si="6" ref="B25:J25">B26+B27+B28+B29+B30+B31+B32+B33+B34</f>
        <v>62529580</v>
      </c>
      <c r="C25" s="156">
        <f t="shared" si="6"/>
        <v>62529580</v>
      </c>
      <c r="D25" s="156">
        <f t="shared" si="6"/>
        <v>9341762</v>
      </c>
      <c r="E25" s="156">
        <f t="shared" si="6"/>
        <v>0</v>
      </c>
      <c r="F25" s="156">
        <f t="shared" si="6"/>
        <v>0</v>
      </c>
      <c r="G25" s="156">
        <f t="shared" si="6"/>
        <v>219024</v>
      </c>
      <c r="H25" s="156">
        <f t="shared" si="6"/>
        <v>64163725</v>
      </c>
      <c r="I25" s="156">
        <f t="shared" si="6"/>
        <v>64163725</v>
      </c>
      <c r="J25" s="156">
        <f t="shared" si="6"/>
        <v>19045152</v>
      </c>
      <c r="K25" s="156">
        <f t="shared" si="1"/>
        <v>126693305</v>
      </c>
      <c r="L25" s="156">
        <f t="shared" si="2"/>
        <v>126693305</v>
      </c>
      <c r="M25" s="584">
        <f t="shared" si="2"/>
        <v>28605938</v>
      </c>
    </row>
    <row r="26" spans="1:13" ht="18" customHeight="1">
      <c r="A26" s="148" t="s">
        <v>467</v>
      </c>
      <c r="B26" s="153">
        <f>+'7.a.mell'!D38</f>
        <v>0</v>
      </c>
      <c r="C26" s="153">
        <f>+'7.a.mell'!E38</f>
        <v>0</v>
      </c>
      <c r="D26" s="153">
        <f>+'7.a.mell'!F38</f>
        <v>134800</v>
      </c>
      <c r="E26" s="153">
        <f>+'7.mell'!D9</f>
        <v>0</v>
      </c>
      <c r="F26" s="153">
        <f>+'7.mell'!E9</f>
        <v>0</v>
      </c>
      <c r="G26" s="153">
        <f>+'7.mell'!F9</f>
        <v>0</v>
      </c>
      <c r="H26" s="154">
        <f>+'10.mell'!D9+'11.mell'!D9+'12.mell'!D9+'13.mell'!D9</f>
        <v>0</v>
      </c>
      <c r="I26" s="154">
        <f>+'10.mell'!E9+'11.mell'!E9+'12.mell'!E9+'13.mell'!E9</f>
        <v>0</v>
      </c>
      <c r="J26" s="154">
        <f>+'10.mell'!F9+'11.mell'!F9+'12.mell'!F9+'13.mell'!F9</f>
        <v>0</v>
      </c>
      <c r="K26" s="154">
        <f t="shared" si="1"/>
        <v>0</v>
      </c>
      <c r="L26" s="154">
        <f t="shared" si="2"/>
        <v>0</v>
      </c>
      <c r="M26" s="585">
        <f t="shared" si="2"/>
        <v>134800</v>
      </c>
    </row>
    <row r="27" spans="1:13" ht="18" customHeight="1">
      <c r="A27" s="148" t="s">
        <v>468</v>
      </c>
      <c r="B27" s="153">
        <f>'7.a.mell'!D39</f>
        <v>8684000</v>
      </c>
      <c r="C27" s="153">
        <f>'7.a.mell'!E39</f>
        <v>8684000</v>
      </c>
      <c r="D27" s="153">
        <f>'7.a.mell'!F39</f>
        <v>5202887</v>
      </c>
      <c r="E27" s="153">
        <f>+'7.mell'!D10</f>
        <v>0</v>
      </c>
      <c r="F27" s="153">
        <f>+'7.mell'!E10</f>
        <v>0</v>
      </c>
      <c r="G27" s="153">
        <f>+'7.mell'!F10</f>
        <v>0</v>
      </c>
      <c r="H27" s="154">
        <f>+'10.mell'!D10+'11.mell'!D10+'12.mell'!D10+'13.mell'!D10</f>
        <v>14097986</v>
      </c>
      <c r="I27" s="154">
        <f>+'10.mell'!E10+'11.mell'!E10+'12.mell'!E10+'13.mell'!E10</f>
        <v>14097986</v>
      </c>
      <c r="J27" s="154">
        <f>+'10.mell'!F10+'11.mell'!F10+'12.mell'!F10+'13.mell'!F10</f>
        <v>3306719</v>
      </c>
      <c r="K27" s="154">
        <f t="shared" si="1"/>
        <v>22781986</v>
      </c>
      <c r="L27" s="154">
        <f t="shared" si="2"/>
        <v>22781986</v>
      </c>
      <c r="M27" s="585">
        <f t="shared" si="2"/>
        <v>8509606</v>
      </c>
    </row>
    <row r="28" spans="1:13" ht="18" customHeight="1">
      <c r="A28" s="148" t="s">
        <v>469</v>
      </c>
      <c r="B28" s="153">
        <f>'7.a.mell'!D40</f>
        <v>19670000</v>
      </c>
      <c r="C28" s="153">
        <f>'7.a.mell'!E40</f>
        <v>19670000</v>
      </c>
      <c r="D28" s="153">
        <f>'7.a.mell'!F40</f>
        <v>1219641</v>
      </c>
      <c r="E28" s="153">
        <f>+'7.mell'!D11</f>
        <v>0</v>
      </c>
      <c r="F28" s="153">
        <f>+'7.mell'!E11</f>
        <v>0</v>
      </c>
      <c r="G28" s="153">
        <f>+'7.mell'!F11</f>
        <v>0</v>
      </c>
      <c r="H28" s="154">
        <f>+'10.mell'!D11+'11.mell'!D11+'12.mell'!D11+'13.mell'!D11</f>
        <v>0</v>
      </c>
      <c r="I28" s="154">
        <f>+'10.mell'!E11+'11.mell'!E11+'12.mell'!E11+'13.mell'!E11</f>
        <v>0</v>
      </c>
      <c r="J28" s="154">
        <f>+'10.mell'!F11+'11.mell'!F11+'12.mell'!F11+'13.mell'!F11</f>
        <v>0</v>
      </c>
      <c r="K28" s="154">
        <f t="shared" si="1"/>
        <v>19670000</v>
      </c>
      <c r="L28" s="154">
        <f t="shared" si="2"/>
        <v>19670000</v>
      </c>
      <c r="M28" s="585">
        <f t="shared" si="2"/>
        <v>1219641</v>
      </c>
    </row>
    <row r="29" spans="1:13" ht="18" customHeight="1">
      <c r="A29" s="148" t="s">
        <v>139</v>
      </c>
      <c r="B29" s="153">
        <f>'7.a.mell'!D41</f>
        <v>6000000</v>
      </c>
      <c r="C29" s="153">
        <f>'7.a.mell'!E41</f>
        <v>6000000</v>
      </c>
      <c r="D29" s="153">
        <f>'7.a.mell'!F41</f>
        <v>0</v>
      </c>
      <c r="E29" s="153">
        <f>+'7.mell'!D12</f>
        <v>0</v>
      </c>
      <c r="F29" s="153">
        <f>+'7.mell'!E12</f>
        <v>0</v>
      </c>
      <c r="G29" s="153">
        <f>+'7.mell'!F12</f>
        <v>0</v>
      </c>
      <c r="H29" s="154">
        <f>+'10.mell'!D12+'11.mell'!D12+'12.mell'!D12+'13.mell'!D12</f>
        <v>0</v>
      </c>
      <c r="I29" s="154">
        <f>+'10.mell'!E12+'11.mell'!E12+'12.mell'!E12+'13.mell'!E12</f>
        <v>0</v>
      </c>
      <c r="J29" s="154">
        <f>+'10.mell'!F12+'11.mell'!F12+'12.mell'!F12+'13.mell'!F12</f>
        <v>0</v>
      </c>
      <c r="K29" s="154">
        <f t="shared" si="1"/>
        <v>6000000</v>
      </c>
      <c r="L29" s="154">
        <f t="shared" si="2"/>
        <v>6000000</v>
      </c>
      <c r="M29" s="585">
        <f t="shared" si="2"/>
        <v>0</v>
      </c>
    </row>
    <row r="30" spans="1:13" ht="18" customHeight="1">
      <c r="A30" s="148" t="s">
        <v>470</v>
      </c>
      <c r="B30" s="153"/>
      <c r="C30" s="153"/>
      <c r="D30" s="153"/>
      <c r="E30" s="153"/>
      <c r="F30" s="153"/>
      <c r="G30" s="153"/>
      <c r="H30" s="154">
        <v>0</v>
      </c>
      <c r="I30" s="154">
        <v>0</v>
      </c>
      <c r="J30" s="154">
        <v>0</v>
      </c>
      <c r="K30" s="154">
        <f t="shared" si="1"/>
        <v>0</v>
      </c>
      <c r="L30" s="154">
        <f t="shared" si="2"/>
        <v>0</v>
      </c>
      <c r="M30" s="585">
        <f t="shared" si="2"/>
        <v>0</v>
      </c>
    </row>
    <row r="31" spans="1:13" ht="18" customHeight="1">
      <c r="A31" s="148" t="s">
        <v>142</v>
      </c>
      <c r="B31" s="153">
        <v>0</v>
      </c>
      <c r="C31" s="153">
        <v>0</v>
      </c>
      <c r="D31" s="153">
        <v>0</v>
      </c>
      <c r="E31" s="153">
        <f>+'7.mell'!D14</f>
        <v>0</v>
      </c>
      <c r="F31" s="153">
        <f>+'7.mell'!E14</f>
        <v>0</v>
      </c>
      <c r="G31" s="153">
        <f>+'7.mell'!F14</f>
        <v>0</v>
      </c>
      <c r="H31" s="154">
        <f>+'10.mell'!D13+'11.mell'!D13+'12.mell'!D13+'13.mell'!D13</f>
        <v>39421842</v>
      </c>
      <c r="I31" s="154">
        <f>+'10.mell'!E13+'11.mell'!E13+'12.mell'!E13+'13.mell'!E13</f>
        <v>39421842</v>
      </c>
      <c r="J31" s="154">
        <f>+'10.mell'!F13+'11.mell'!F13+'12.mell'!F13+'13.mell'!F13</f>
        <v>12008005</v>
      </c>
      <c r="K31" s="154">
        <f t="shared" si="1"/>
        <v>39421842</v>
      </c>
      <c r="L31" s="154">
        <f t="shared" si="2"/>
        <v>39421842</v>
      </c>
      <c r="M31" s="585">
        <f t="shared" si="2"/>
        <v>12008005</v>
      </c>
    </row>
    <row r="32" spans="1:13" ht="18" customHeight="1">
      <c r="A32" s="158" t="s">
        <v>471</v>
      </c>
      <c r="B32" s="153">
        <f>'7.a.mell'!D43</f>
        <v>28175580</v>
      </c>
      <c r="C32" s="153">
        <f>'7.a.mell'!E43</f>
        <v>28175580</v>
      </c>
      <c r="D32" s="153">
        <f>'7.a.mell'!F43</f>
        <v>1475219</v>
      </c>
      <c r="E32" s="153">
        <f>+'7.mell'!D15</f>
        <v>0</v>
      </c>
      <c r="F32" s="153">
        <f>+'7.mell'!E15</f>
        <v>0</v>
      </c>
      <c r="G32" s="153">
        <f>+'7.mell'!F15</f>
        <v>0</v>
      </c>
      <c r="H32" s="154">
        <f>+'10.mell'!D14+'11.mell'!D14+'12.mell'!D14+'13.mell'!D14</f>
        <v>10643897</v>
      </c>
      <c r="I32" s="154">
        <f>+'10.mell'!E14+'11.mell'!E14+'12.mell'!E14+'13.mell'!E14</f>
        <v>10643897</v>
      </c>
      <c r="J32" s="154">
        <f>+'10.mell'!F14+'11.mell'!F14+'12.mell'!F14+'13.mell'!F14</f>
        <v>3730427</v>
      </c>
      <c r="K32" s="154">
        <f t="shared" si="1"/>
        <v>38819477</v>
      </c>
      <c r="L32" s="154">
        <f t="shared" si="2"/>
        <v>38819477</v>
      </c>
      <c r="M32" s="585">
        <f t="shared" si="2"/>
        <v>5205646</v>
      </c>
    </row>
    <row r="33" spans="1:13" s="558" customFormat="1" ht="18" customHeight="1">
      <c r="A33" s="148" t="s">
        <v>472</v>
      </c>
      <c r="B33" s="153">
        <f>+'7.a.mell'!D45+'7.a.mell'!D46</f>
        <v>0</v>
      </c>
      <c r="C33" s="153">
        <f>+'7.a.mell'!E45+'7.a.mell'!E46</f>
        <v>0</v>
      </c>
      <c r="D33" s="153">
        <f>+'7.a.mell'!F45+'7.a.mell'!F46</f>
        <v>346</v>
      </c>
      <c r="E33" s="153">
        <f>+'7.mell'!D16+'7.mell'!D17</f>
        <v>0</v>
      </c>
      <c r="F33" s="153">
        <f>+'7.mell'!E16+'7.mell'!E17</f>
        <v>0</v>
      </c>
      <c r="G33" s="153">
        <f>+'7.mell'!F16+'7.mell'!F17</f>
        <v>1</v>
      </c>
      <c r="H33" s="154">
        <f>+'10.mell'!D16+'10.mell'!D17+'11.mell'!D16+'11.mell'!D17+'12.mell'!D16+'12.mell'!D17+'13.mell'!D16+'13.mell'!D17</f>
        <v>0</v>
      </c>
      <c r="I33" s="154">
        <f>+'10.mell'!E16+'10.mell'!E17+'11.mell'!E16+'11.mell'!E17+'12.mell'!E16+'12.mell'!E17+'13.mell'!E16+'13.mell'!E17</f>
        <v>0</v>
      </c>
      <c r="J33" s="154">
        <f>+'10.mell'!F16+'10.mell'!F17+'11.mell'!F16+'11.mell'!F17+'12.mell'!F16+'12.mell'!F17+'13.mell'!F16+'13.mell'!F17</f>
        <v>1</v>
      </c>
      <c r="K33" s="154">
        <f t="shared" si="1"/>
        <v>0</v>
      </c>
      <c r="L33" s="154">
        <f t="shared" si="2"/>
        <v>0</v>
      </c>
      <c r="M33" s="585">
        <f t="shared" si="2"/>
        <v>348</v>
      </c>
    </row>
    <row r="34" spans="1:13" ht="18" customHeight="1">
      <c r="A34" s="148" t="s">
        <v>473</v>
      </c>
      <c r="B34" s="153">
        <f>+'7.a.mell'!D47+'7.a.mell'!D48</f>
        <v>0</v>
      </c>
      <c r="C34" s="153">
        <f>+'7.a.mell'!E47+'7.a.mell'!E48</f>
        <v>0</v>
      </c>
      <c r="D34" s="153">
        <f>+'7.a.mell'!F47+'7.a.mell'!F48</f>
        <v>1308869</v>
      </c>
      <c r="E34" s="153">
        <f>+'7.mell'!D18+'7.mell'!D19</f>
        <v>0</v>
      </c>
      <c r="F34" s="153">
        <f>+'7.mell'!E18+'7.mell'!E19</f>
        <v>0</v>
      </c>
      <c r="G34" s="153">
        <f>+'7.mell'!F18+'7.mell'!F19</f>
        <v>219023</v>
      </c>
      <c r="H34" s="154">
        <f>+'10.mell'!D17+'10.mell'!D18+'11.mell'!D17+'11.mell'!D18+'12.mell'!D17+'12.mell'!D18+'13.mell'!D17+'13.mell'!D18</f>
        <v>0</v>
      </c>
      <c r="I34" s="154">
        <f>+'10.mell'!E17+'10.mell'!E18+'11.mell'!E17+'11.mell'!E18+'12.mell'!E17+'12.mell'!E18+'13.mell'!E17+'13.mell'!E18</f>
        <v>0</v>
      </c>
      <c r="J34" s="154">
        <f>+'10.mell'!F17+'10.mell'!F18+'11.mell'!F17+'11.mell'!F18+'12.mell'!F17+'12.mell'!F18+'13.mell'!F17+'13.mell'!F18</f>
        <v>0</v>
      </c>
      <c r="K34" s="154">
        <f t="shared" si="1"/>
        <v>0</v>
      </c>
      <c r="L34" s="154">
        <f t="shared" si="2"/>
        <v>0</v>
      </c>
      <c r="M34" s="585">
        <f t="shared" si="2"/>
        <v>1527892</v>
      </c>
    </row>
    <row r="35" spans="1:13" s="558" customFormat="1" ht="18" customHeight="1">
      <c r="A35" s="152" t="s">
        <v>18</v>
      </c>
      <c r="B35" s="156">
        <f aca="true" t="shared" si="7" ref="B35:J35">SUM(B36)</f>
        <v>50000000</v>
      </c>
      <c r="C35" s="156">
        <f t="shared" si="7"/>
        <v>50000000</v>
      </c>
      <c r="D35" s="156">
        <f t="shared" si="7"/>
        <v>57480</v>
      </c>
      <c r="E35" s="156">
        <f t="shared" si="7"/>
        <v>0</v>
      </c>
      <c r="F35" s="156">
        <f t="shared" si="7"/>
        <v>0</v>
      </c>
      <c r="G35" s="156">
        <f t="shared" si="7"/>
        <v>0</v>
      </c>
      <c r="H35" s="156">
        <f t="shared" si="7"/>
        <v>0</v>
      </c>
      <c r="I35" s="156">
        <f t="shared" si="7"/>
        <v>0</v>
      </c>
      <c r="J35" s="156">
        <f t="shared" si="7"/>
        <v>0</v>
      </c>
      <c r="K35" s="156">
        <f t="shared" si="1"/>
        <v>50000000</v>
      </c>
      <c r="L35" s="156">
        <f t="shared" si="2"/>
        <v>50000000</v>
      </c>
      <c r="M35" s="584">
        <f t="shared" si="2"/>
        <v>57480</v>
      </c>
    </row>
    <row r="36" spans="1:13" s="558" customFormat="1" ht="18" customHeight="1">
      <c r="A36" s="148" t="s">
        <v>167</v>
      </c>
      <c r="B36" s="153">
        <f>+'7.a.mell'!D51</f>
        <v>50000000</v>
      </c>
      <c r="C36" s="153">
        <f>+'7.a.mell'!E51</f>
        <v>50000000</v>
      </c>
      <c r="D36" s="153">
        <f>+'7.a.mell'!F51</f>
        <v>57480</v>
      </c>
      <c r="E36" s="153">
        <f>+'7.mell'!D33</f>
        <v>0</v>
      </c>
      <c r="F36" s="153">
        <f>+'7.mell'!E33</f>
        <v>0</v>
      </c>
      <c r="G36" s="153">
        <f>+'7.mell'!F33</f>
        <v>0</v>
      </c>
      <c r="H36" s="154">
        <f>+'10.mell'!D32+'11.mell'!D32+'12.mell'!D32+'13.mell'!D32</f>
        <v>0</v>
      </c>
      <c r="I36" s="154">
        <f>+'10.mell'!E32+'11.mell'!E32+'12.mell'!E32+'13.mell'!E32</f>
        <v>0</v>
      </c>
      <c r="J36" s="154">
        <f>+'10.mell'!F32+'11.mell'!F32+'12.mell'!F32+'13.mell'!F32</f>
        <v>0</v>
      </c>
      <c r="K36" s="154">
        <f t="shared" si="1"/>
        <v>50000000</v>
      </c>
      <c r="L36" s="154">
        <f t="shared" si="2"/>
        <v>50000000</v>
      </c>
      <c r="M36" s="585">
        <f t="shared" si="2"/>
        <v>57480</v>
      </c>
    </row>
    <row r="37" spans="1:13" s="558" customFormat="1" ht="18" customHeight="1">
      <c r="A37" s="152" t="s">
        <v>14</v>
      </c>
      <c r="B37" s="156">
        <f>+'7.a.mell'!D55</f>
        <v>0</v>
      </c>
      <c r="C37" s="156">
        <f>+'7.a.mell'!E55</f>
        <v>0</v>
      </c>
      <c r="D37" s="156">
        <f>+'7.a.mell'!F55</f>
        <v>1000000</v>
      </c>
      <c r="E37" s="156">
        <f>+'7.mell'!D35</f>
        <v>0</v>
      </c>
      <c r="F37" s="156">
        <f>+'7.mell'!E35</f>
        <v>0</v>
      </c>
      <c r="G37" s="156">
        <f>+'7.mell'!F35</f>
        <v>0</v>
      </c>
      <c r="H37" s="157">
        <f>+'10.mell'!D34+'11.mell'!D34+'12.mell'!D34+'13.mell'!D34</f>
        <v>0</v>
      </c>
      <c r="I37" s="157">
        <f>+'10.mell'!E34+'11.mell'!E34+'12.mell'!E34+'13.mell'!E34</f>
        <v>0</v>
      </c>
      <c r="J37" s="157">
        <f>+'10.mell'!F34+'11.mell'!F34+'12.mell'!F34+'13.mell'!F34</f>
        <v>0</v>
      </c>
      <c r="K37" s="157">
        <f t="shared" si="1"/>
        <v>0</v>
      </c>
      <c r="L37" s="157">
        <f t="shared" si="2"/>
        <v>0</v>
      </c>
      <c r="M37" s="586">
        <f t="shared" si="2"/>
        <v>1000000</v>
      </c>
    </row>
    <row r="38" spans="1:13" s="558" customFormat="1" ht="18" customHeight="1">
      <c r="A38" s="159" t="s">
        <v>15</v>
      </c>
      <c r="B38" s="156">
        <f>SUM(B39:B40)</f>
        <v>0</v>
      </c>
      <c r="C38" s="156">
        <f>SUM(C39:C40)</f>
        <v>0</v>
      </c>
      <c r="D38" s="156">
        <f>SUM(D39:D40)</f>
        <v>0</v>
      </c>
      <c r="E38" s="156">
        <f>+'7.mell'!D36</f>
        <v>0</v>
      </c>
      <c r="F38" s="156">
        <f>+'7.mell'!E36</f>
        <v>0</v>
      </c>
      <c r="G38" s="156">
        <f>+'7.mell'!F36</f>
        <v>0</v>
      </c>
      <c r="H38" s="157">
        <f>+'10.mell'!D35+'11.mell'!D35+'12.mell'!D35+'13.mell'!D35</f>
        <v>0</v>
      </c>
      <c r="I38" s="157">
        <f>+'10.mell'!E35+'11.mell'!E35+'12.mell'!E35+'13.mell'!E35</f>
        <v>0</v>
      </c>
      <c r="J38" s="157">
        <f>+'10.mell'!F35+'11.mell'!F35+'12.mell'!F35+'13.mell'!F35</f>
        <v>0</v>
      </c>
      <c r="K38" s="157">
        <f t="shared" si="1"/>
        <v>0</v>
      </c>
      <c r="L38" s="157">
        <f t="shared" si="2"/>
        <v>0</v>
      </c>
      <c r="M38" s="586">
        <f t="shared" si="2"/>
        <v>0</v>
      </c>
    </row>
    <row r="39" spans="1:13" ht="18" customHeight="1">
      <c r="A39" s="160" t="s">
        <v>474</v>
      </c>
      <c r="B39" s="153">
        <f>'7.a.mell'!D62</f>
        <v>0</v>
      </c>
      <c r="C39" s="153">
        <f>'7.a.mell'!E62</f>
        <v>0</v>
      </c>
      <c r="D39" s="153">
        <f>'7.a.mell'!F62</f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f t="shared" si="1"/>
        <v>0</v>
      </c>
      <c r="L39" s="153">
        <f t="shared" si="2"/>
        <v>0</v>
      </c>
      <c r="M39" s="583">
        <f t="shared" si="2"/>
        <v>0</v>
      </c>
    </row>
    <row r="40" spans="1:13" s="573" customFormat="1" ht="18" customHeight="1">
      <c r="A40" s="160" t="s">
        <v>475</v>
      </c>
      <c r="B40" s="153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f t="shared" si="1"/>
        <v>0</v>
      </c>
      <c r="L40" s="153">
        <f t="shared" si="2"/>
        <v>0</v>
      </c>
      <c r="M40" s="583">
        <f t="shared" si="2"/>
        <v>0</v>
      </c>
    </row>
    <row r="41" spans="1:13" s="572" customFormat="1" ht="18" customHeight="1">
      <c r="A41" s="159" t="s">
        <v>476</v>
      </c>
      <c r="B41" s="156">
        <f aca="true" t="shared" si="8" ref="B41:J41">B6+B8+B11+B14+B25+B35+B37+B38</f>
        <v>948790380</v>
      </c>
      <c r="C41" s="156">
        <f t="shared" si="8"/>
        <v>930816295</v>
      </c>
      <c r="D41" s="156">
        <f t="shared" si="8"/>
        <v>417147377</v>
      </c>
      <c r="E41" s="156">
        <f t="shared" si="8"/>
        <v>0</v>
      </c>
      <c r="F41" s="156">
        <f t="shared" si="8"/>
        <v>0</v>
      </c>
      <c r="G41" s="156">
        <f t="shared" si="8"/>
        <v>219024</v>
      </c>
      <c r="H41" s="156">
        <f t="shared" si="8"/>
        <v>64163725</v>
      </c>
      <c r="I41" s="156">
        <f t="shared" si="8"/>
        <v>64163725</v>
      </c>
      <c r="J41" s="156">
        <f t="shared" si="8"/>
        <v>19045152</v>
      </c>
      <c r="K41" s="156">
        <f t="shared" si="1"/>
        <v>1012954105</v>
      </c>
      <c r="L41" s="156">
        <f t="shared" si="2"/>
        <v>994980020</v>
      </c>
      <c r="M41" s="584">
        <f t="shared" si="2"/>
        <v>436411553</v>
      </c>
    </row>
    <row r="42" spans="1:14" s="572" customFormat="1" ht="18" customHeight="1">
      <c r="A42" s="161" t="s">
        <v>477</v>
      </c>
      <c r="B42" s="153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f t="shared" si="1"/>
        <v>0</v>
      </c>
      <c r="L42" s="153">
        <f t="shared" si="2"/>
        <v>0</v>
      </c>
      <c r="M42" s="583">
        <f t="shared" si="2"/>
        <v>0</v>
      </c>
      <c r="N42" s="576"/>
    </row>
    <row r="43" spans="1:13" ht="15">
      <c r="A43" s="159" t="s">
        <v>478</v>
      </c>
      <c r="B43" s="153">
        <f>'7.a.mell'!D69</f>
        <v>571867613</v>
      </c>
      <c r="C43" s="153">
        <f>'7.a.mell'!E69</f>
        <v>571867613</v>
      </c>
      <c r="D43" s="153">
        <f>'7.a.mell'!F69</f>
        <v>623118758</v>
      </c>
      <c r="E43" s="153">
        <f>'7.mell'!D39</f>
        <v>6146733</v>
      </c>
      <c r="F43" s="153">
        <f>'7.mell'!E39</f>
        <v>6146733</v>
      </c>
      <c r="G43" s="153">
        <f>'7.mell'!F39</f>
        <v>6352350</v>
      </c>
      <c r="H43" s="154">
        <f>+'10.mell'!D38+'11.mell'!D38+'12.mell'!D38+'13.mell'!D38</f>
        <v>7989857</v>
      </c>
      <c r="I43" s="154">
        <f>+'10.mell'!E38+'11.mell'!E38+'12.mell'!E38+'13.mell'!E38</f>
        <v>7989857</v>
      </c>
      <c r="J43" s="154">
        <f>+'10.mell'!F38+'11.mell'!F38+'12.mell'!F38+'13.mell'!F38</f>
        <v>6623708</v>
      </c>
      <c r="K43" s="154">
        <f t="shared" si="1"/>
        <v>586004203</v>
      </c>
      <c r="L43" s="154">
        <f t="shared" si="2"/>
        <v>586004203</v>
      </c>
      <c r="M43" s="585">
        <f t="shared" si="2"/>
        <v>636094816</v>
      </c>
    </row>
    <row r="44" spans="1:13" ht="15">
      <c r="A44" s="159" t="s">
        <v>1099</v>
      </c>
      <c r="B44" s="153">
        <f>+'7.a.mell'!D72</f>
        <v>0</v>
      </c>
      <c r="C44" s="153">
        <f>+'7.a.mell'!E72</f>
        <v>0</v>
      </c>
      <c r="D44" s="153">
        <f>+'7.a.mell'!F72</f>
        <v>1912065</v>
      </c>
      <c r="E44" s="153">
        <f>'7.mell'!D41</f>
        <v>98323224</v>
      </c>
      <c r="F44" s="153">
        <f>'7.mell'!E41</f>
        <v>104323224</v>
      </c>
      <c r="G44" s="153">
        <f>'7.mell'!F41</f>
        <v>37071618</v>
      </c>
      <c r="H44" s="154">
        <f>+'10.mell'!D40+'11.mell'!D40+'12.mell'!D40+'13.mell'!D40</f>
        <v>364488271</v>
      </c>
      <c r="I44" s="154">
        <f>+'10.mell'!E40+'11.mell'!E40+'12.mell'!E40+'13.mell'!E40</f>
        <v>301108271</v>
      </c>
      <c r="J44" s="154">
        <f>+'10.mell'!F40+'11.mell'!F40+'12.mell'!F40+'13.mell'!F40</f>
        <v>138150703</v>
      </c>
      <c r="K44" s="154">
        <f t="shared" si="1"/>
        <v>462811495</v>
      </c>
      <c r="L44" s="154">
        <f t="shared" si="2"/>
        <v>405431495</v>
      </c>
      <c r="M44" s="585">
        <f t="shared" si="2"/>
        <v>177134386</v>
      </c>
    </row>
    <row r="45" spans="1:13" s="558" customFormat="1" ht="15" thickBot="1">
      <c r="A45" s="162" t="s">
        <v>479</v>
      </c>
      <c r="B45" s="163">
        <f aca="true" t="shared" si="9" ref="B45:J45">SUM(B42:B44)</f>
        <v>571867613</v>
      </c>
      <c r="C45" s="163">
        <f t="shared" si="9"/>
        <v>571867613</v>
      </c>
      <c r="D45" s="163">
        <f t="shared" si="9"/>
        <v>625030823</v>
      </c>
      <c r="E45" s="163">
        <f t="shared" si="9"/>
        <v>104469957</v>
      </c>
      <c r="F45" s="163">
        <f t="shared" si="9"/>
        <v>110469957</v>
      </c>
      <c r="G45" s="163">
        <f t="shared" si="9"/>
        <v>43423968</v>
      </c>
      <c r="H45" s="163">
        <f t="shared" si="9"/>
        <v>372478128</v>
      </c>
      <c r="I45" s="163">
        <f t="shared" si="9"/>
        <v>309098128</v>
      </c>
      <c r="J45" s="163">
        <f t="shared" si="9"/>
        <v>144774411</v>
      </c>
      <c r="K45" s="163">
        <f t="shared" si="1"/>
        <v>1048815698</v>
      </c>
      <c r="L45" s="163">
        <f t="shared" si="2"/>
        <v>991435698</v>
      </c>
      <c r="M45" s="587">
        <f t="shared" si="2"/>
        <v>813229202</v>
      </c>
    </row>
    <row r="46" spans="1:13" s="558" customFormat="1" ht="15" thickBot="1">
      <c r="A46" s="164" t="s">
        <v>480</v>
      </c>
      <c r="B46" s="165">
        <f aca="true" t="shared" si="10" ref="B46:J46">B41+B45</f>
        <v>1520657993</v>
      </c>
      <c r="C46" s="165">
        <f t="shared" si="10"/>
        <v>1502683908</v>
      </c>
      <c r="D46" s="165">
        <f t="shared" si="10"/>
        <v>1042178200</v>
      </c>
      <c r="E46" s="165">
        <f t="shared" si="10"/>
        <v>104469957</v>
      </c>
      <c r="F46" s="165">
        <f t="shared" si="10"/>
        <v>110469957</v>
      </c>
      <c r="G46" s="165">
        <f t="shared" si="10"/>
        <v>43642992</v>
      </c>
      <c r="H46" s="165">
        <f t="shared" si="10"/>
        <v>436641853</v>
      </c>
      <c r="I46" s="165">
        <f t="shared" si="10"/>
        <v>373261853</v>
      </c>
      <c r="J46" s="165">
        <f t="shared" si="10"/>
        <v>163819563</v>
      </c>
      <c r="K46" s="165">
        <f t="shared" si="1"/>
        <v>2061769803</v>
      </c>
      <c r="L46" s="165">
        <f t="shared" si="2"/>
        <v>1986415718</v>
      </c>
      <c r="M46" s="588">
        <f>D46+G46+J46+2</f>
        <v>1249640757</v>
      </c>
    </row>
    <row r="47" spans="5:7" ht="15">
      <c r="E47" s="568"/>
      <c r="F47" s="568"/>
      <c r="G47" s="568"/>
    </row>
    <row r="48" spans="2:12" ht="15">
      <c r="B48" s="318"/>
      <c r="C48" s="577"/>
      <c r="D48" s="577"/>
      <c r="E48" s="318"/>
      <c r="H48" s="318"/>
      <c r="L48" s="318"/>
    </row>
  </sheetData>
  <sheetProtection/>
  <mergeCells count="6">
    <mergeCell ref="A4:A5"/>
    <mergeCell ref="B4:D4"/>
    <mergeCell ref="E4:G4"/>
    <mergeCell ref="H4:J4"/>
    <mergeCell ref="K4:M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headerFooter>
    <oddHeader>&amp;Ra 12/2020. (VII. 10.) önkormányzati rendelet 5.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Zeros="0" view="pageBreakPreview" zoomScaleNormal="85" zoomScaleSheetLayoutView="100" workbookViewId="0" topLeftCell="C1">
      <pane xSplit="1" ySplit="4" topLeftCell="D5" activePane="bottomRight" state="frozen"/>
      <selection pane="topLeft" activeCell="C119" sqref="C119"/>
      <selection pane="topRight" activeCell="C119" sqref="C119"/>
      <selection pane="bottomLeft" activeCell="C119" sqref="C119"/>
      <selection pane="bottomRight" activeCell="F16" sqref="F16"/>
    </sheetView>
  </sheetViews>
  <sheetFormatPr defaultColWidth="9.00390625" defaultRowHeight="25.5" customHeight="1"/>
  <cols>
    <col min="1" max="2" width="0" style="550" hidden="1" customWidth="1"/>
    <col min="3" max="3" width="68.625" style="550" customWidth="1"/>
    <col min="4" max="15" width="22.375" style="550" customWidth="1"/>
    <col min="16" max="16" width="14.625" style="550" bestFit="1" customWidth="1"/>
    <col min="17" max="17" width="13.375" style="550" bestFit="1" customWidth="1"/>
    <col min="18" max="16384" width="9.375" style="550" customWidth="1"/>
  </cols>
  <sheetData>
    <row r="1" spans="3:15" ht="18" customHeight="1">
      <c r="C1" s="744" t="s">
        <v>996</v>
      </c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</row>
    <row r="2" spans="3:15" ht="18" customHeight="1">
      <c r="C2" s="744" t="s">
        <v>481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</row>
    <row r="3" spans="3:12" ht="18" customHeight="1" thickBot="1">
      <c r="C3" s="551"/>
      <c r="D3" s="551"/>
      <c r="E3" s="551"/>
      <c r="F3" s="551"/>
      <c r="G3" s="551"/>
      <c r="H3" s="551"/>
      <c r="I3" s="551"/>
      <c r="J3" s="551"/>
      <c r="K3" s="551"/>
      <c r="L3" s="551"/>
    </row>
    <row r="4" spans="1:15" ht="105.75" customHeight="1">
      <c r="A4" s="552"/>
      <c r="C4" s="741" t="s">
        <v>235</v>
      </c>
      <c r="D4" s="737" t="s">
        <v>35</v>
      </c>
      <c r="E4" s="738"/>
      <c r="F4" s="743"/>
      <c r="G4" s="737" t="s">
        <v>450</v>
      </c>
      <c r="H4" s="738"/>
      <c r="I4" s="743"/>
      <c r="J4" s="737" t="s">
        <v>482</v>
      </c>
      <c r="K4" s="738"/>
      <c r="L4" s="743"/>
      <c r="M4" s="681" t="s">
        <v>452</v>
      </c>
      <c r="N4" s="681"/>
      <c r="O4" s="672"/>
    </row>
    <row r="5" spans="1:15" ht="28.5">
      <c r="A5" s="553"/>
      <c r="B5" s="554"/>
      <c r="C5" s="742"/>
      <c r="D5" s="555" t="s">
        <v>406</v>
      </c>
      <c r="E5" s="555" t="s">
        <v>1080</v>
      </c>
      <c r="F5" s="555" t="s">
        <v>1088</v>
      </c>
      <c r="G5" s="555" t="s">
        <v>406</v>
      </c>
      <c r="H5" s="555" t="s">
        <v>1080</v>
      </c>
      <c r="I5" s="555" t="s">
        <v>1088</v>
      </c>
      <c r="J5" s="555" t="s">
        <v>406</v>
      </c>
      <c r="K5" s="555" t="s">
        <v>1080</v>
      </c>
      <c r="L5" s="555" t="s">
        <v>1088</v>
      </c>
      <c r="M5" s="555" t="s">
        <v>406</v>
      </c>
      <c r="N5" s="555" t="s">
        <v>1080</v>
      </c>
      <c r="O5" s="556" t="s">
        <v>1088</v>
      </c>
    </row>
    <row r="6" spans="1:15" s="558" customFormat="1" ht="18" customHeight="1">
      <c r="A6" s="557"/>
      <c r="C6" s="495" t="s">
        <v>16</v>
      </c>
      <c r="D6" s="385">
        <f>'7.a.mell'!D83</f>
        <v>60610000</v>
      </c>
      <c r="E6" s="385">
        <f>'7.a.mell'!E83</f>
        <v>60610000</v>
      </c>
      <c r="F6" s="385">
        <f>'7.a.mell'!F83</f>
        <v>26659500</v>
      </c>
      <c r="G6" s="386">
        <f>'7.mell'!D47</f>
        <v>65987546</v>
      </c>
      <c r="H6" s="386">
        <f>'7.mell'!E47</f>
        <v>65987546</v>
      </c>
      <c r="I6" s="386">
        <f>'7.mell'!F47</f>
        <v>32697218</v>
      </c>
      <c r="J6" s="559">
        <f>+'10.mell'!D46+'11.mell'!D46+'12.mell'!D46+'13.mell'!D46</f>
        <v>228414187</v>
      </c>
      <c r="K6" s="559">
        <f>+'10.mell'!E46+'11.mell'!E46+'12.mell'!E46+'13.mell'!E46</f>
        <v>201524187</v>
      </c>
      <c r="L6" s="559">
        <f>+'10.mell'!F46+'11.mell'!F46+'12.mell'!F46+'13.mell'!F46</f>
        <v>91700299</v>
      </c>
      <c r="M6" s="387">
        <f aca="true" t="shared" si="0" ref="M6:M24">D6+G6+J6</f>
        <v>355011733</v>
      </c>
      <c r="N6" s="387">
        <f aca="true" t="shared" si="1" ref="N6:N24">E6+H6+K6</f>
        <v>328121733</v>
      </c>
      <c r="O6" s="496">
        <f aca="true" t="shared" si="2" ref="O6:O24">F6+I6+L6</f>
        <v>151057017</v>
      </c>
    </row>
    <row r="7" spans="1:15" s="558" customFormat="1" ht="18" customHeight="1">
      <c r="A7" s="557"/>
      <c r="C7" s="495" t="s">
        <v>483</v>
      </c>
      <c r="D7" s="385">
        <f>'7.a.mell'!D84</f>
        <v>12789500</v>
      </c>
      <c r="E7" s="385">
        <f>'7.a.mell'!E84</f>
        <v>12789500</v>
      </c>
      <c r="F7" s="385">
        <f>'7.a.mell'!F84</f>
        <v>4983001</v>
      </c>
      <c r="G7" s="386">
        <f>'7.mell'!D48</f>
        <v>13370311</v>
      </c>
      <c r="H7" s="386">
        <f>'7.mell'!E48</f>
        <v>13370311</v>
      </c>
      <c r="I7" s="386">
        <f>'7.mell'!F48</f>
        <v>6745844</v>
      </c>
      <c r="J7" s="559">
        <f>+'10.mell'!D47+'11.mell'!D47+'12.mell'!D47+'13.mell'!D47</f>
        <v>43398695</v>
      </c>
      <c r="K7" s="559">
        <f>+'10.mell'!E47+'11.mell'!E47+'12.mell'!E47+'13.mell'!E47</f>
        <v>38288695</v>
      </c>
      <c r="L7" s="559">
        <f>+'10.mell'!F47+'11.mell'!F47+'12.mell'!F47+'13.mell'!F47</f>
        <v>17481589</v>
      </c>
      <c r="M7" s="387">
        <f t="shared" si="0"/>
        <v>69558506</v>
      </c>
      <c r="N7" s="387">
        <f t="shared" si="1"/>
        <v>64448506</v>
      </c>
      <c r="O7" s="496">
        <f t="shared" si="2"/>
        <v>29210434</v>
      </c>
    </row>
    <row r="8" spans="1:15" s="558" customFormat="1" ht="18" customHeight="1">
      <c r="A8" s="557"/>
      <c r="C8" s="497" t="s">
        <v>17</v>
      </c>
      <c r="D8" s="385">
        <f>'7.a.mell'!D85</f>
        <v>193653500</v>
      </c>
      <c r="E8" s="385">
        <f>'7.a.mell'!E85</f>
        <v>167760537</v>
      </c>
      <c r="F8" s="385">
        <f>'7.a.mell'!F85</f>
        <v>73351269</v>
      </c>
      <c r="G8" s="386">
        <f>'7.mell'!D49</f>
        <v>20612100</v>
      </c>
      <c r="H8" s="386">
        <f>'7.mell'!E49</f>
        <v>22812100</v>
      </c>
      <c r="I8" s="386">
        <f>'7.mell'!F49</f>
        <v>3464114</v>
      </c>
      <c r="J8" s="559">
        <f>+'10.mell'!D48+'11.mell'!D48+'12.mell'!D48+'13.mell'!D48</f>
        <v>153701100</v>
      </c>
      <c r="K8" s="559">
        <f>+'10.mell'!E48+'11.mell'!E48+'12.mell'!E48+'13.mell'!E48</f>
        <v>122321100</v>
      </c>
      <c r="L8" s="559">
        <f>+'10.mell'!F48+'11.mell'!F48+'12.mell'!F48+'13.mell'!F48</f>
        <v>48436061</v>
      </c>
      <c r="M8" s="387">
        <f t="shared" si="0"/>
        <v>367966700</v>
      </c>
      <c r="N8" s="387">
        <f t="shared" si="1"/>
        <v>312893737</v>
      </c>
      <c r="O8" s="496">
        <f t="shared" si="2"/>
        <v>125251444</v>
      </c>
    </row>
    <row r="9" spans="1:15" s="558" customFormat="1" ht="18" customHeight="1">
      <c r="A9" s="557"/>
      <c r="C9" s="495" t="s">
        <v>9</v>
      </c>
      <c r="D9" s="385">
        <f>'7.a.mell'!D86</f>
        <v>5200000</v>
      </c>
      <c r="E9" s="385">
        <f>'7.a.mell'!E86</f>
        <v>5200000</v>
      </c>
      <c r="F9" s="385">
        <f>'7.a.mell'!F86</f>
        <v>2523939</v>
      </c>
      <c r="G9" s="386"/>
      <c r="H9" s="386">
        <f>'7.mell'!E50</f>
        <v>0</v>
      </c>
      <c r="I9" s="386">
        <f>'7.mell'!F50</f>
        <v>0</v>
      </c>
      <c r="J9" s="559"/>
      <c r="K9" s="559"/>
      <c r="L9" s="559"/>
      <c r="M9" s="387">
        <f t="shared" si="0"/>
        <v>5200000</v>
      </c>
      <c r="N9" s="387">
        <f t="shared" si="1"/>
        <v>5200000</v>
      </c>
      <c r="O9" s="496">
        <f t="shared" si="2"/>
        <v>2523939</v>
      </c>
    </row>
    <row r="10" spans="1:15" s="558" customFormat="1" ht="18" customHeight="1">
      <c r="A10" s="557"/>
      <c r="C10" s="497" t="s">
        <v>393</v>
      </c>
      <c r="D10" s="385">
        <f>'7.a.mell'!D87</f>
        <v>204728158</v>
      </c>
      <c r="E10" s="385">
        <f>'7.a.mell'!E87</f>
        <v>379417268</v>
      </c>
      <c r="F10" s="385">
        <f>'7.a.mell'!F87</f>
        <v>65507531</v>
      </c>
      <c r="G10" s="386"/>
      <c r="H10" s="386">
        <f>'7.mell'!E51</f>
        <v>0</v>
      </c>
      <c r="I10" s="386">
        <f>'7.mell'!F51</f>
        <v>0</v>
      </c>
      <c r="J10" s="559"/>
      <c r="K10" s="559"/>
      <c r="L10" s="559"/>
      <c r="M10" s="387">
        <f t="shared" si="0"/>
        <v>204728158</v>
      </c>
      <c r="N10" s="387">
        <f t="shared" si="1"/>
        <v>379417268</v>
      </c>
      <c r="O10" s="496">
        <f t="shared" si="2"/>
        <v>65507531</v>
      </c>
    </row>
    <row r="11" spans="1:15" ht="18" customHeight="1">
      <c r="A11" s="552"/>
      <c r="C11" s="498" t="s">
        <v>485</v>
      </c>
      <c r="D11" s="385"/>
      <c r="E11" s="385">
        <f>'7.a.mell'!E88</f>
        <v>0</v>
      </c>
      <c r="F11" s="385">
        <f>'7.a.mell'!F88</f>
        <v>853166</v>
      </c>
      <c r="G11" s="386"/>
      <c r="H11" s="386"/>
      <c r="I11" s="386"/>
      <c r="J11" s="559"/>
      <c r="K11" s="559"/>
      <c r="L11" s="559"/>
      <c r="M11" s="387">
        <f t="shared" si="0"/>
        <v>0</v>
      </c>
      <c r="N11" s="387">
        <f t="shared" si="1"/>
        <v>0</v>
      </c>
      <c r="O11" s="496">
        <f t="shared" si="2"/>
        <v>853166</v>
      </c>
    </row>
    <row r="12" spans="1:15" ht="18" customHeight="1">
      <c r="A12" s="552"/>
      <c r="C12" s="498" t="s">
        <v>484</v>
      </c>
      <c r="D12" s="388">
        <f>'7.a.mell'!D94</f>
        <v>1623000</v>
      </c>
      <c r="E12" s="388">
        <f>'7.a.mell'!E94</f>
        <v>1623000</v>
      </c>
      <c r="F12" s="388">
        <f>'7.a.mell'!F94</f>
        <v>1027500</v>
      </c>
      <c r="G12" s="386"/>
      <c r="H12" s="386"/>
      <c r="I12" s="386"/>
      <c r="J12" s="559"/>
      <c r="K12" s="559"/>
      <c r="L12" s="559"/>
      <c r="M12" s="387">
        <f t="shared" si="0"/>
        <v>1623000</v>
      </c>
      <c r="N12" s="387">
        <f t="shared" si="1"/>
        <v>1623000</v>
      </c>
      <c r="O12" s="496">
        <f t="shared" si="2"/>
        <v>1027500</v>
      </c>
    </row>
    <row r="13" spans="1:15" ht="18" customHeight="1">
      <c r="A13" s="552"/>
      <c r="C13" s="498" t="s">
        <v>1101</v>
      </c>
      <c r="D13" s="388">
        <f>'7.a.mell'!D90</f>
        <v>16750787</v>
      </c>
      <c r="E13" s="385">
        <f>'7.a.mell'!E90</f>
        <v>16750787</v>
      </c>
      <c r="F13" s="385">
        <f>'7.a.mell'!F90</f>
        <v>0</v>
      </c>
      <c r="G13" s="386"/>
      <c r="H13" s="386"/>
      <c r="I13" s="386"/>
      <c r="J13" s="559"/>
      <c r="K13" s="559"/>
      <c r="L13" s="559"/>
      <c r="M13" s="387">
        <f t="shared" si="0"/>
        <v>16750787</v>
      </c>
      <c r="N13" s="387">
        <f t="shared" si="1"/>
        <v>16750787</v>
      </c>
      <c r="O13" s="496">
        <f t="shared" si="2"/>
        <v>0</v>
      </c>
    </row>
    <row r="14" spans="1:15" s="558" customFormat="1" ht="18" customHeight="1">
      <c r="A14" s="557"/>
      <c r="C14" s="499" t="s">
        <v>395</v>
      </c>
      <c r="D14" s="385">
        <f>'7.a.mell'!D100</f>
        <v>84434371</v>
      </c>
      <c r="E14" s="385">
        <f>'7.a.mell'!E100</f>
        <v>257218481</v>
      </c>
      <c r="F14" s="385">
        <f>'7.a.mell'!F100</f>
        <v>0</v>
      </c>
      <c r="G14" s="389"/>
      <c r="H14" s="386"/>
      <c r="I14" s="386"/>
      <c r="J14" s="559"/>
      <c r="K14" s="559"/>
      <c r="L14" s="559"/>
      <c r="M14" s="387">
        <f t="shared" si="0"/>
        <v>84434371</v>
      </c>
      <c r="N14" s="387">
        <f t="shared" si="1"/>
        <v>257218481</v>
      </c>
      <c r="O14" s="496">
        <f t="shared" si="2"/>
        <v>0</v>
      </c>
    </row>
    <row r="15" spans="1:15" s="558" customFormat="1" ht="18" customHeight="1" thickBot="1">
      <c r="A15" s="560"/>
      <c r="B15" s="561"/>
      <c r="C15" s="499" t="s">
        <v>1100</v>
      </c>
      <c r="D15" s="385">
        <f>'7.a.mell'!D99</f>
        <v>101920000</v>
      </c>
      <c r="E15" s="385">
        <f>'7.a.mell'!E99</f>
        <v>103825000</v>
      </c>
      <c r="F15" s="385">
        <f>'7.a.mell'!F99</f>
        <v>63626865</v>
      </c>
      <c r="G15" s="386"/>
      <c r="H15" s="386"/>
      <c r="I15" s="386"/>
      <c r="J15" s="559"/>
      <c r="K15" s="559"/>
      <c r="L15" s="559"/>
      <c r="M15" s="387">
        <f t="shared" si="0"/>
        <v>101920000</v>
      </c>
      <c r="N15" s="387">
        <f t="shared" si="1"/>
        <v>103825000</v>
      </c>
      <c r="O15" s="496">
        <f t="shared" si="2"/>
        <v>63626865</v>
      </c>
    </row>
    <row r="16" spans="3:15" s="558" customFormat="1" ht="18" customHeight="1">
      <c r="C16" s="495" t="s">
        <v>486</v>
      </c>
      <c r="D16" s="385">
        <f>'7.a.mell'!D102</f>
        <v>571898106.56</v>
      </c>
      <c r="E16" s="385">
        <f>'7.a.mell'!E102</f>
        <v>462507874.56</v>
      </c>
      <c r="F16" s="385">
        <f>'7.a.mell'!F102</f>
        <v>87979098</v>
      </c>
      <c r="G16" s="386">
        <f>'7.mell'!D53</f>
        <v>3500000</v>
      </c>
      <c r="H16" s="386">
        <f>'7.mell'!E53</f>
        <v>3500000</v>
      </c>
      <c r="I16" s="386">
        <f>'7.mell'!F53</f>
        <v>57177</v>
      </c>
      <c r="J16" s="559">
        <f>+'10.mell'!D52+'11.mell'!D52+'12.mell'!D52+'13.mell'!D52</f>
        <v>2872871</v>
      </c>
      <c r="K16" s="559">
        <f>+'10.mell'!E52+'11.mell'!E52+'12.mell'!E52+'13.mell'!E52</f>
        <v>2872871</v>
      </c>
      <c r="L16" s="559">
        <f>+'10.mell'!F52+'11.mell'!F52+'12.mell'!F52+'13.mell'!F52</f>
        <v>2750393</v>
      </c>
      <c r="M16" s="387">
        <f t="shared" si="0"/>
        <v>578270977.56</v>
      </c>
      <c r="N16" s="387">
        <f t="shared" si="1"/>
        <v>468880745.56</v>
      </c>
      <c r="O16" s="496">
        <f t="shared" si="2"/>
        <v>90786668</v>
      </c>
    </row>
    <row r="17" spans="3:15" s="558" customFormat="1" ht="18" customHeight="1">
      <c r="C17" s="495" t="s">
        <v>487</v>
      </c>
      <c r="D17" s="385">
        <f>'7.a.mell'!D103</f>
        <v>0</v>
      </c>
      <c r="E17" s="385"/>
      <c r="F17" s="385"/>
      <c r="G17" s="386">
        <f>'7.mell'!D54</f>
        <v>1000000</v>
      </c>
      <c r="H17" s="386">
        <f>'7.mell'!E54</f>
        <v>4800000</v>
      </c>
      <c r="I17" s="386">
        <f>'7.mell'!F54</f>
        <v>0</v>
      </c>
      <c r="J17" s="559">
        <f>+'10.mell'!D53+'11.mell'!D53+'12.mell'!D53+'13.mell'!D53</f>
        <v>8255000</v>
      </c>
      <c r="K17" s="559">
        <f>+'10.mell'!E53+'11.mell'!E53+'12.mell'!E53+'13.mell'!E53</f>
        <v>8255000</v>
      </c>
      <c r="L17" s="559">
        <f>+'10.mell'!F53+'11.mell'!F53+'12.mell'!F53+'13.mell'!F53</f>
        <v>446608</v>
      </c>
      <c r="M17" s="387">
        <f t="shared" si="0"/>
        <v>9255000</v>
      </c>
      <c r="N17" s="387">
        <f t="shared" si="1"/>
        <v>13055000</v>
      </c>
      <c r="O17" s="496">
        <f t="shared" si="2"/>
        <v>446608</v>
      </c>
    </row>
    <row r="18" spans="3:15" s="558" customFormat="1" ht="18" customHeight="1">
      <c r="C18" s="495" t="s">
        <v>282</v>
      </c>
      <c r="D18" s="385">
        <f>'7.a.mell'!D104</f>
        <v>0</v>
      </c>
      <c r="E18" s="385">
        <f>'7.a.mell'!E95</f>
        <v>0</v>
      </c>
      <c r="F18" s="385">
        <f>'7.a.mell'!F95</f>
        <v>0</v>
      </c>
      <c r="G18" s="386"/>
      <c r="H18" s="386"/>
      <c r="I18" s="386"/>
      <c r="J18" s="559"/>
      <c r="K18" s="559"/>
      <c r="L18" s="559"/>
      <c r="M18" s="387">
        <f t="shared" si="0"/>
        <v>0</v>
      </c>
      <c r="N18" s="387">
        <f t="shared" si="1"/>
        <v>0</v>
      </c>
      <c r="O18" s="496">
        <f t="shared" si="2"/>
        <v>0</v>
      </c>
    </row>
    <row r="19" spans="3:15" s="558" customFormat="1" ht="18" customHeight="1">
      <c r="C19" s="498" t="s">
        <v>488</v>
      </c>
      <c r="D19" s="385"/>
      <c r="E19" s="385">
        <f>'7.a.mell'!E96</f>
        <v>0</v>
      </c>
      <c r="F19" s="385">
        <f>'7.a.mell'!F96</f>
        <v>0</v>
      </c>
      <c r="G19" s="386"/>
      <c r="H19" s="386"/>
      <c r="I19" s="386"/>
      <c r="J19" s="559"/>
      <c r="K19" s="559"/>
      <c r="L19" s="559"/>
      <c r="M19" s="387">
        <f t="shared" si="0"/>
        <v>0</v>
      </c>
      <c r="N19" s="387">
        <f t="shared" si="1"/>
        <v>0</v>
      </c>
      <c r="O19" s="496">
        <f t="shared" si="2"/>
        <v>0</v>
      </c>
    </row>
    <row r="20" spans="3:17" s="558" customFormat="1" ht="18" customHeight="1">
      <c r="C20" s="495" t="s">
        <v>489</v>
      </c>
      <c r="D20" s="562">
        <f aca="true" t="shared" si="3" ref="D20:L20">+D6+D7+D8+D9+D10+D16+D17+D18</f>
        <v>1048879264.56</v>
      </c>
      <c r="E20" s="562">
        <f t="shared" si="3"/>
        <v>1088285179.56</v>
      </c>
      <c r="F20" s="562">
        <f t="shared" si="3"/>
        <v>261004338</v>
      </c>
      <c r="G20" s="562">
        <f t="shared" si="3"/>
        <v>104469957</v>
      </c>
      <c r="H20" s="562">
        <f t="shared" si="3"/>
        <v>110469957</v>
      </c>
      <c r="I20" s="562">
        <f t="shared" si="3"/>
        <v>42964353</v>
      </c>
      <c r="J20" s="562">
        <f t="shared" si="3"/>
        <v>436641853</v>
      </c>
      <c r="K20" s="562">
        <f t="shared" si="3"/>
        <v>373261853</v>
      </c>
      <c r="L20" s="562">
        <f t="shared" si="3"/>
        <v>160814950</v>
      </c>
      <c r="M20" s="548">
        <f t="shared" si="0"/>
        <v>1589991074.56</v>
      </c>
      <c r="N20" s="548">
        <f t="shared" si="1"/>
        <v>1572016989.56</v>
      </c>
      <c r="O20" s="549">
        <f t="shared" si="2"/>
        <v>464783641</v>
      </c>
      <c r="P20" s="563"/>
      <c r="Q20" s="563"/>
    </row>
    <row r="21" spans="3:15" s="558" customFormat="1" ht="18" customHeight="1">
      <c r="C21" s="495" t="s">
        <v>298</v>
      </c>
      <c r="D21" s="385">
        <f>'7.a.mell'!D111</f>
        <v>8967233</v>
      </c>
      <c r="E21" s="385">
        <f>'7.a.mell'!E111</f>
        <v>8967233</v>
      </c>
      <c r="F21" s="385">
        <f>'7.a.mell'!F111</f>
        <v>10863040</v>
      </c>
      <c r="G21" s="386"/>
      <c r="H21" s="386"/>
      <c r="I21" s="386"/>
      <c r="J21" s="559"/>
      <c r="K21" s="559"/>
      <c r="L21" s="559"/>
      <c r="M21" s="387">
        <f t="shared" si="0"/>
        <v>8967233</v>
      </c>
      <c r="N21" s="387">
        <f t="shared" si="1"/>
        <v>8967233</v>
      </c>
      <c r="O21" s="496">
        <f t="shared" si="2"/>
        <v>10863040</v>
      </c>
    </row>
    <row r="22" spans="3:15" ht="18" customHeight="1">
      <c r="C22" s="495" t="s">
        <v>226</v>
      </c>
      <c r="D22" s="390">
        <f>'7.a.mell'!D112</f>
        <v>462811495</v>
      </c>
      <c r="E22" s="385">
        <f>'7.a.mell'!E112</f>
        <v>405431495</v>
      </c>
      <c r="F22" s="385">
        <f>'7.a.mell'!F112</f>
        <v>175222321</v>
      </c>
      <c r="G22" s="391"/>
      <c r="H22" s="391"/>
      <c r="I22" s="391"/>
      <c r="J22" s="564"/>
      <c r="K22" s="564"/>
      <c r="L22" s="564"/>
      <c r="M22" s="387">
        <f t="shared" si="0"/>
        <v>462811495</v>
      </c>
      <c r="N22" s="387">
        <f t="shared" si="1"/>
        <v>405431495</v>
      </c>
      <c r="O22" s="496">
        <f t="shared" si="2"/>
        <v>175222321</v>
      </c>
    </row>
    <row r="23" spans="3:15" ht="18" customHeight="1" thickBot="1">
      <c r="C23" s="500" t="s">
        <v>490</v>
      </c>
      <c r="D23" s="392">
        <f>'7.a.mell'!D114</f>
        <v>471778728</v>
      </c>
      <c r="E23" s="479">
        <f>'7.a.mell'!E110</f>
        <v>414398728</v>
      </c>
      <c r="F23" s="479">
        <f>'7.a.mell'!F110</f>
        <v>186085361</v>
      </c>
      <c r="G23" s="393"/>
      <c r="H23" s="393"/>
      <c r="I23" s="393"/>
      <c r="J23" s="565"/>
      <c r="K23" s="565"/>
      <c r="L23" s="565"/>
      <c r="M23" s="394">
        <f t="shared" si="0"/>
        <v>471778728</v>
      </c>
      <c r="N23" s="394">
        <f t="shared" si="1"/>
        <v>414398728</v>
      </c>
      <c r="O23" s="501">
        <f t="shared" si="2"/>
        <v>186085361</v>
      </c>
    </row>
    <row r="24" spans="3:15" ht="18" customHeight="1" thickBot="1">
      <c r="C24" s="395" t="s">
        <v>491</v>
      </c>
      <c r="D24" s="396">
        <f>'7.a.mell'!D115</f>
        <v>1520657992.56</v>
      </c>
      <c r="E24" s="396">
        <f>'7.a.mell'!E115</f>
        <v>1502683907.56</v>
      </c>
      <c r="F24" s="396">
        <f>'7.a.mell'!F115</f>
        <v>447089699</v>
      </c>
      <c r="G24" s="397">
        <f>G20+G23</f>
        <v>104469957</v>
      </c>
      <c r="H24" s="397">
        <f>'7.mell'!E58</f>
        <v>110469957</v>
      </c>
      <c r="I24" s="397">
        <f>'7.mell'!F58</f>
        <v>42964353</v>
      </c>
      <c r="J24" s="566">
        <f>J20+J23</f>
        <v>436641853</v>
      </c>
      <c r="K24" s="566">
        <f>K20+K23</f>
        <v>373261853</v>
      </c>
      <c r="L24" s="566">
        <f>L20+L23</f>
        <v>160814950</v>
      </c>
      <c r="M24" s="398">
        <f t="shared" si="0"/>
        <v>2061769802.56</v>
      </c>
      <c r="N24" s="480">
        <f t="shared" si="1"/>
        <v>1986415717.56</v>
      </c>
      <c r="O24" s="480">
        <f t="shared" si="2"/>
        <v>650869002</v>
      </c>
    </row>
    <row r="25" spans="4:9" ht="25.5" customHeight="1">
      <c r="D25" s="318"/>
      <c r="E25" s="318"/>
      <c r="F25" s="318"/>
      <c r="G25" s="567"/>
      <c r="H25" s="567"/>
      <c r="I25" s="567"/>
    </row>
    <row r="26" spans="10:12" ht="25.5" customHeight="1">
      <c r="J26" s="568"/>
      <c r="K26" s="568"/>
      <c r="L26" s="568"/>
    </row>
    <row r="27" spans="10:12" ht="25.5" customHeight="1">
      <c r="J27" s="568"/>
      <c r="K27" s="568"/>
      <c r="L27" s="568"/>
    </row>
    <row r="28" spans="10:12" ht="25.5" customHeight="1">
      <c r="J28" s="568"/>
      <c r="K28" s="568"/>
      <c r="L28" s="568"/>
    </row>
    <row r="29" spans="10:12" ht="25.5" customHeight="1">
      <c r="J29" s="568"/>
      <c r="K29" s="568"/>
      <c r="L29" s="568"/>
    </row>
    <row r="30" spans="10:12" ht="25.5" customHeight="1">
      <c r="J30" s="568"/>
      <c r="K30" s="568"/>
      <c r="L30" s="568"/>
    </row>
    <row r="31" spans="10:12" ht="25.5" customHeight="1">
      <c r="J31" s="568"/>
      <c r="K31" s="568"/>
      <c r="L31" s="568"/>
    </row>
    <row r="32" spans="10:12" ht="25.5" customHeight="1">
      <c r="J32" s="568"/>
      <c r="K32" s="568"/>
      <c r="L32" s="568"/>
    </row>
    <row r="33" spans="10:12" ht="25.5" customHeight="1">
      <c r="J33" s="568"/>
      <c r="K33" s="568"/>
      <c r="L33" s="568"/>
    </row>
    <row r="34" spans="10:12" ht="25.5" customHeight="1">
      <c r="J34" s="568"/>
      <c r="K34" s="568"/>
      <c r="L34" s="568"/>
    </row>
    <row r="35" spans="10:12" ht="25.5" customHeight="1">
      <c r="J35" s="568"/>
      <c r="K35" s="568"/>
      <c r="L35" s="568"/>
    </row>
    <row r="36" spans="10:12" ht="25.5" customHeight="1">
      <c r="J36" s="568"/>
      <c r="K36" s="568"/>
      <c r="L36" s="568"/>
    </row>
    <row r="37" spans="10:12" ht="25.5" customHeight="1">
      <c r="J37" s="568"/>
      <c r="K37" s="568"/>
      <c r="L37" s="568"/>
    </row>
    <row r="38" spans="10:12" ht="25.5" customHeight="1">
      <c r="J38" s="568"/>
      <c r="K38" s="568"/>
      <c r="L38" s="568"/>
    </row>
    <row r="39" spans="10:12" ht="25.5" customHeight="1">
      <c r="J39" s="568"/>
      <c r="K39" s="568"/>
      <c r="L39" s="568"/>
    </row>
    <row r="40" spans="10:12" ht="25.5" customHeight="1">
      <c r="J40" s="568"/>
      <c r="K40" s="568"/>
      <c r="L40" s="568"/>
    </row>
  </sheetData>
  <sheetProtection/>
  <mergeCells count="7">
    <mergeCell ref="M4:O4"/>
    <mergeCell ref="C4:C5"/>
    <mergeCell ref="D4:F4"/>
    <mergeCell ref="G4:I4"/>
    <mergeCell ref="J4:L4"/>
    <mergeCell ref="C1:O1"/>
    <mergeCell ref="C2:O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Header>&amp;Ra 12/2020. (VII. 10.) önkormányzati rendelet 6.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SheetLayoutView="100" workbookViewId="0" topLeftCell="A85">
      <selection activeCell="F102" sqref="F102"/>
    </sheetView>
  </sheetViews>
  <sheetFormatPr defaultColWidth="9.00390625" defaultRowHeight="12.75"/>
  <cols>
    <col min="1" max="1" width="19.00390625" style="422" customWidth="1"/>
    <col min="2" max="2" width="19.125" style="90" customWidth="1"/>
    <col min="3" max="3" width="77.375" style="91" customWidth="1"/>
    <col min="4" max="6" width="25.00390625" style="92" customWidth="1"/>
    <col min="7" max="7" width="11.625" style="422" bestFit="1" customWidth="1"/>
    <col min="8" max="16384" width="9.375" style="422" customWidth="1"/>
  </cols>
  <sheetData>
    <row r="1" spans="2:6" s="1" customFormat="1" ht="16.5" customHeight="1" thickBot="1">
      <c r="B1" s="2"/>
      <c r="C1" s="3"/>
      <c r="D1" s="4"/>
      <c r="E1" s="4"/>
      <c r="F1" s="4"/>
    </row>
    <row r="2" spans="1:6" s="9" customFormat="1" ht="21" customHeight="1">
      <c r="A2" s="704" t="s">
        <v>34</v>
      </c>
      <c r="B2" s="705"/>
      <c r="C2" s="6" t="s">
        <v>35</v>
      </c>
      <c r="D2" s="7"/>
      <c r="E2" s="7"/>
      <c r="F2" s="7" t="s">
        <v>36</v>
      </c>
    </row>
    <row r="3" spans="1:6" s="9" customFormat="1" ht="16.5" thickBot="1">
      <c r="A3" s="706" t="s">
        <v>37</v>
      </c>
      <c r="B3" s="707"/>
      <c r="C3" s="10" t="s">
        <v>38</v>
      </c>
      <c r="D3" s="11"/>
      <c r="E3" s="11"/>
      <c r="F3" s="11"/>
    </row>
    <row r="4" spans="1:6" ht="24.75" thickBot="1">
      <c r="A4" s="12" t="s">
        <v>39</v>
      </c>
      <c r="B4" s="13" t="s">
        <v>40</v>
      </c>
      <c r="C4" s="14" t="s">
        <v>41</v>
      </c>
      <c r="D4" s="502" t="s">
        <v>1073</v>
      </c>
      <c r="E4" s="502" t="s">
        <v>1079</v>
      </c>
      <c r="F4" s="502" t="s">
        <v>1087</v>
      </c>
    </row>
    <row r="5" spans="1:6" s="20" customFormat="1" ht="15.75" customHeight="1" thickBot="1">
      <c r="A5" s="16"/>
      <c r="B5" s="17"/>
      <c r="C5" s="17" t="s">
        <v>42</v>
      </c>
      <c r="D5" s="18"/>
      <c r="E5" s="18"/>
      <c r="F5" s="18"/>
    </row>
    <row r="6" spans="1:6" s="20" customFormat="1" ht="13.5" customHeight="1" thickBot="1">
      <c r="A6" s="21" t="s">
        <v>43</v>
      </c>
      <c r="B6" s="22" t="s">
        <v>0</v>
      </c>
      <c r="C6" s="23" t="s">
        <v>44</v>
      </c>
      <c r="D6" s="24">
        <f>SUM(D7:D12)</f>
        <v>224180800</v>
      </c>
      <c r="E6" s="24">
        <f>SUM(E7:E12)</f>
        <v>227606715</v>
      </c>
      <c r="F6" s="24">
        <f>SUM(F7:F12)</f>
        <v>127521734</v>
      </c>
    </row>
    <row r="7" spans="1:6" s="27" customFormat="1" ht="13.5" customHeight="1">
      <c r="A7" s="423" t="s">
        <v>45</v>
      </c>
      <c r="B7" s="424" t="s">
        <v>46</v>
      </c>
      <c r="C7" s="25" t="s">
        <v>47</v>
      </c>
      <c r="D7" s="425"/>
      <c r="E7" s="425">
        <f>48880+43828+43828+43828+43828</f>
        <v>224192</v>
      </c>
      <c r="F7" s="425">
        <v>6680907</v>
      </c>
    </row>
    <row r="8" spans="1:6" s="30" customFormat="1" ht="13.5" customHeight="1">
      <c r="A8" s="371" t="s">
        <v>48</v>
      </c>
      <c r="B8" s="426" t="s">
        <v>49</v>
      </c>
      <c r="C8" s="28" t="s">
        <v>50</v>
      </c>
      <c r="D8" s="430">
        <f>144505250</f>
        <v>144505250</v>
      </c>
      <c r="E8" s="430">
        <f>144505250</f>
        <v>144505250</v>
      </c>
      <c r="F8" s="430">
        <v>75142730</v>
      </c>
    </row>
    <row r="9" spans="1:6" s="30" customFormat="1" ht="13.5" customHeight="1">
      <c r="A9" s="371" t="s">
        <v>51</v>
      </c>
      <c r="B9" s="426" t="s">
        <v>52</v>
      </c>
      <c r="C9" s="28" t="s">
        <v>53</v>
      </c>
      <c r="D9" s="430">
        <f>3400000+5091840+53688047+10724000</f>
        <v>72903887</v>
      </c>
      <c r="E9" s="430">
        <f>3400000+5091840+53688047+439119+450495+707232+578864+578865+10724000</f>
        <v>75658462</v>
      </c>
      <c r="F9" s="430">
        <v>41637623</v>
      </c>
    </row>
    <row r="10" spans="1:6" s="30" customFormat="1" ht="13.5" customHeight="1">
      <c r="A10" s="371" t="s">
        <v>54</v>
      </c>
      <c r="B10" s="426" t="s">
        <v>55</v>
      </c>
      <c r="C10" s="28" t="s">
        <v>56</v>
      </c>
      <c r="D10" s="430">
        <v>6771663</v>
      </c>
      <c r="E10" s="430">
        <f>6771663+78904+92061+92061+92061+92061</f>
        <v>7218811</v>
      </c>
      <c r="F10" s="430">
        <v>4060474</v>
      </c>
    </row>
    <row r="11" spans="1:6" s="30" customFormat="1" ht="13.5" customHeight="1">
      <c r="A11" s="371" t="s">
        <v>57</v>
      </c>
      <c r="B11" s="426" t="s">
        <v>58</v>
      </c>
      <c r="C11" s="28" t="s">
        <v>59</v>
      </c>
      <c r="D11" s="430"/>
      <c r="E11" s="430"/>
      <c r="F11" s="430"/>
    </row>
    <row r="12" spans="1:6" s="27" customFormat="1" ht="13.5" customHeight="1" thickBot="1">
      <c r="A12" s="427" t="s">
        <v>60</v>
      </c>
      <c r="B12" s="428" t="s">
        <v>61</v>
      </c>
      <c r="C12" s="31" t="s">
        <v>62</v>
      </c>
      <c r="D12" s="430"/>
      <c r="E12" s="430"/>
      <c r="F12" s="430"/>
    </row>
    <row r="13" spans="1:6" s="27" customFormat="1" ht="13.5" customHeight="1" thickBot="1">
      <c r="A13" s="21" t="s">
        <v>63</v>
      </c>
      <c r="B13" s="22" t="s">
        <v>1</v>
      </c>
      <c r="C13" s="32" t="s">
        <v>64</v>
      </c>
      <c r="D13" s="24">
        <f>SUM(D14:D18)</f>
        <v>16680000</v>
      </c>
      <c r="E13" s="24">
        <f>SUM(E14:E18)</f>
        <v>16680000</v>
      </c>
      <c r="F13" s="24">
        <f>SUM(F14:F18)</f>
        <v>9755874</v>
      </c>
    </row>
    <row r="14" spans="1:6" s="27" customFormat="1" ht="13.5" customHeight="1">
      <c r="A14" s="423" t="s">
        <v>65</v>
      </c>
      <c r="B14" s="424" t="s">
        <v>66</v>
      </c>
      <c r="C14" s="25" t="s">
        <v>67</v>
      </c>
      <c r="D14" s="425"/>
      <c r="E14" s="425"/>
      <c r="F14" s="425"/>
    </row>
    <row r="15" spans="1:6" s="27" customFormat="1" ht="13.5" customHeight="1">
      <c r="A15" s="371" t="s">
        <v>68</v>
      </c>
      <c r="B15" s="426" t="s">
        <v>69</v>
      </c>
      <c r="C15" s="28" t="s">
        <v>70</v>
      </c>
      <c r="D15" s="430"/>
      <c r="E15" s="430"/>
      <c r="F15" s="430"/>
    </row>
    <row r="16" spans="1:6" s="27" customFormat="1" ht="13.5" customHeight="1">
      <c r="A16" s="371" t="s">
        <v>71</v>
      </c>
      <c r="B16" s="426" t="s">
        <v>72</v>
      </c>
      <c r="C16" s="28" t="s">
        <v>73</v>
      </c>
      <c r="D16" s="430"/>
      <c r="E16" s="430"/>
      <c r="F16" s="430"/>
    </row>
    <row r="17" spans="1:6" s="27" customFormat="1" ht="13.5" customHeight="1">
      <c r="A17" s="371" t="s">
        <v>74</v>
      </c>
      <c r="B17" s="426" t="s">
        <v>75</v>
      </c>
      <c r="C17" s="28" t="s">
        <v>76</v>
      </c>
      <c r="D17" s="430"/>
      <c r="E17" s="430"/>
      <c r="F17" s="430"/>
    </row>
    <row r="18" spans="1:6" s="27" customFormat="1" ht="13.5" customHeight="1">
      <c r="A18" s="371" t="s">
        <v>77</v>
      </c>
      <c r="B18" s="426" t="s">
        <v>78</v>
      </c>
      <c r="C18" s="28" t="s">
        <v>79</v>
      </c>
      <c r="D18" s="430">
        <v>16680000</v>
      </c>
      <c r="E18" s="430">
        <v>16680000</v>
      </c>
      <c r="F18" s="430">
        <v>9755874</v>
      </c>
    </row>
    <row r="19" spans="1:6" s="30" customFormat="1" ht="13.5" customHeight="1" thickBot="1">
      <c r="A19" s="427" t="s">
        <v>77</v>
      </c>
      <c r="B19" s="428" t="s">
        <v>80</v>
      </c>
      <c r="C19" s="31" t="s">
        <v>81</v>
      </c>
      <c r="D19" s="431"/>
      <c r="E19" s="431"/>
      <c r="F19" s="431"/>
    </row>
    <row r="20" spans="1:6" s="30" customFormat="1" ht="13.5" customHeight="1" thickBot="1">
      <c r="A20" s="21" t="s">
        <v>82</v>
      </c>
      <c r="B20" s="22" t="s">
        <v>2</v>
      </c>
      <c r="C20" s="23" t="s">
        <v>83</v>
      </c>
      <c r="D20" s="24">
        <f>SUM(D21:D25)</f>
        <v>74900000</v>
      </c>
      <c r="E20" s="24">
        <f>SUM(E21:E25)</f>
        <v>74900000</v>
      </c>
      <c r="F20" s="24">
        <f>SUM(F21:F25)</f>
        <v>0</v>
      </c>
    </row>
    <row r="21" spans="1:6" s="30" customFormat="1" ht="13.5" customHeight="1">
      <c r="A21" s="423" t="s">
        <v>84</v>
      </c>
      <c r="B21" s="424" t="s">
        <v>85</v>
      </c>
      <c r="C21" s="25" t="s">
        <v>86</v>
      </c>
      <c r="D21" s="425"/>
      <c r="E21" s="425"/>
      <c r="F21" s="425"/>
    </row>
    <row r="22" spans="1:6" s="27" customFormat="1" ht="13.5" customHeight="1">
      <c r="A22" s="371" t="s">
        <v>87</v>
      </c>
      <c r="B22" s="426" t="s">
        <v>88</v>
      </c>
      <c r="C22" s="28" t="s">
        <v>89</v>
      </c>
      <c r="D22" s="430"/>
      <c r="E22" s="430"/>
      <c r="F22" s="430"/>
    </row>
    <row r="23" spans="1:6" s="30" customFormat="1" ht="13.5" customHeight="1">
      <c r="A23" s="371" t="s">
        <v>90</v>
      </c>
      <c r="B23" s="426" t="s">
        <v>91</v>
      </c>
      <c r="C23" s="28" t="s">
        <v>92</v>
      </c>
      <c r="D23" s="430"/>
      <c r="E23" s="430"/>
      <c r="F23" s="430"/>
    </row>
    <row r="24" spans="1:6" s="30" customFormat="1" ht="13.5" customHeight="1">
      <c r="A24" s="371" t="s">
        <v>93</v>
      </c>
      <c r="B24" s="426" t="s">
        <v>94</v>
      </c>
      <c r="C24" s="28" t="s">
        <v>95</v>
      </c>
      <c r="D24" s="430"/>
      <c r="E24" s="430"/>
      <c r="F24" s="430"/>
    </row>
    <row r="25" spans="1:6" s="30" customFormat="1" ht="13.5" customHeight="1">
      <c r="A25" s="371" t="s">
        <v>96</v>
      </c>
      <c r="B25" s="426" t="s">
        <v>97</v>
      </c>
      <c r="C25" s="28" t="s">
        <v>98</v>
      </c>
      <c r="D25" s="430">
        <v>74900000</v>
      </c>
      <c r="E25" s="430">
        <v>74900000</v>
      </c>
      <c r="F25" s="430"/>
    </row>
    <row r="26" spans="1:6" s="30" customFormat="1" ht="13.5" customHeight="1" thickBot="1">
      <c r="A26" s="427" t="s">
        <v>96</v>
      </c>
      <c r="B26" s="428" t="s">
        <v>99</v>
      </c>
      <c r="C26" s="31" t="s">
        <v>100</v>
      </c>
      <c r="D26" s="431"/>
      <c r="E26" s="431"/>
      <c r="F26" s="431"/>
    </row>
    <row r="27" spans="1:6" s="30" customFormat="1" ht="13.5" customHeight="1" thickBot="1">
      <c r="A27" s="21" t="s">
        <v>101</v>
      </c>
      <c r="B27" s="22" t="s">
        <v>102</v>
      </c>
      <c r="C27" s="23" t="s">
        <v>103</v>
      </c>
      <c r="D27" s="35">
        <f>SUM(D28:D34)</f>
        <v>520500000</v>
      </c>
      <c r="E27" s="35">
        <f>SUM(E28:E34)</f>
        <v>499100000</v>
      </c>
      <c r="F27" s="35">
        <f>SUM(F28:F34)</f>
        <v>269470527</v>
      </c>
    </row>
    <row r="28" spans="1:6" s="30" customFormat="1" ht="13.5" customHeight="1">
      <c r="A28" s="423" t="s">
        <v>104</v>
      </c>
      <c r="B28" s="424" t="s">
        <v>105</v>
      </c>
      <c r="C28" s="25" t="s">
        <v>106</v>
      </c>
      <c r="D28" s="429">
        <v>32400000</v>
      </c>
      <c r="E28" s="429">
        <v>32400000</v>
      </c>
      <c r="F28" s="429">
        <v>18355563</v>
      </c>
    </row>
    <row r="29" spans="1:6" s="30" customFormat="1" ht="13.5" customHeight="1">
      <c r="A29" s="371" t="s">
        <v>104</v>
      </c>
      <c r="B29" s="426" t="s">
        <v>107</v>
      </c>
      <c r="C29" s="28" t="s">
        <v>108</v>
      </c>
      <c r="D29" s="430">
        <v>31000000</v>
      </c>
      <c r="E29" s="430">
        <v>31000000</v>
      </c>
      <c r="F29" s="430">
        <v>16287144</v>
      </c>
    </row>
    <row r="30" spans="1:6" s="30" customFormat="1" ht="13.5" customHeight="1">
      <c r="A30" s="371" t="s">
        <v>104</v>
      </c>
      <c r="B30" s="426" t="s">
        <v>109</v>
      </c>
      <c r="C30" s="28" t="s">
        <v>110</v>
      </c>
      <c r="D30" s="430">
        <v>415000000</v>
      </c>
      <c r="E30" s="430">
        <v>415000000</v>
      </c>
      <c r="F30" s="430">
        <v>220389137</v>
      </c>
    </row>
    <row r="31" spans="1:6" s="30" customFormat="1" ht="13.5" customHeight="1">
      <c r="A31" s="371" t="s">
        <v>104</v>
      </c>
      <c r="B31" s="426" t="s">
        <v>111</v>
      </c>
      <c r="C31" s="28" t="s">
        <v>112</v>
      </c>
      <c r="D31" s="430">
        <v>2000000</v>
      </c>
      <c r="E31" s="430">
        <v>2000000</v>
      </c>
      <c r="F31" s="430">
        <v>686010</v>
      </c>
    </row>
    <row r="32" spans="1:6" s="30" customFormat="1" ht="13.5" customHeight="1">
      <c r="A32" s="371" t="s">
        <v>104</v>
      </c>
      <c r="B32" s="426" t="s">
        <v>114</v>
      </c>
      <c r="C32" s="28" t="s">
        <v>1032</v>
      </c>
      <c r="D32" s="430">
        <v>18200000</v>
      </c>
      <c r="E32" s="430">
        <v>18200000</v>
      </c>
      <c r="F32" s="430">
        <v>13210152</v>
      </c>
    </row>
    <row r="33" spans="1:6" s="30" customFormat="1" ht="13.5" customHeight="1">
      <c r="A33" s="371" t="s">
        <v>116</v>
      </c>
      <c r="B33" s="426" t="s">
        <v>117</v>
      </c>
      <c r="C33" s="28" t="s">
        <v>115</v>
      </c>
      <c r="D33" s="430">
        <v>21400000</v>
      </c>
      <c r="E33" s="430">
        <v>0</v>
      </c>
      <c r="F33" s="430">
        <v>0</v>
      </c>
    </row>
    <row r="34" spans="1:6" s="30" customFormat="1" ht="15" customHeight="1">
      <c r="A34" s="371" t="s">
        <v>118</v>
      </c>
      <c r="B34" s="426" t="s">
        <v>119</v>
      </c>
      <c r="C34" s="28" t="s">
        <v>120</v>
      </c>
      <c r="D34" s="430">
        <v>500000</v>
      </c>
      <c r="E34" s="430">
        <v>500000</v>
      </c>
      <c r="F34" s="430">
        <v>542521</v>
      </c>
    </row>
    <row r="35" spans="1:6" s="40" customFormat="1" ht="13.5" customHeight="1">
      <c r="A35" s="36" t="s">
        <v>121</v>
      </c>
      <c r="B35" s="37" t="s">
        <v>122</v>
      </c>
      <c r="C35" s="38" t="s">
        <v>123</v>
      </c>
      <c r="D35" s="39">
        <v>250000</v>
      </c>
      <c r="E35" s="39">
        <v>250000</v>
      </c>
      <c r="F35" s="39">
        <v>542521</v>
      </c>
    </row>
    <row r="36" spans="1:6" s="40" customFormat="1" ht="13.5" customHeight="1" thickBot="1">
      <c r="A36" s="36" t="s">
        <v>121</v>
      </c>
      <c r="B36" s="37" t="s">
        <v>124</v>
      </c>
      <c r="C36" s="38" t="s">
        <v>125</v>
      </c>
      <c r="D36" s="39">
        <v>250000</v>
      </c>
      <c r="E36" s="39">
        <v>250000</v>
      </c>
      <c r="F36" s="39"/>
    </row>
    <row r="37" spans="1:6" s="30" customFormat="1" ht="13.5" customHeight="1" thickBot="1">
      <c r="A37" s="21" t="s">
        <v>126</v>
      </c>
      <c r="B37" s="22" t="s">
        <v>4</v>
      </c>
      <c r="C37" s="23" t="s">
        <v>127</v>
      </c>
      <c r="D37" s="24">
        <f>SUM(D38:D48)</f>
        <v>62529580</v>
      </c>
      <c r="E37" s="24">
        <f>SUM(E38:E48)</f>
        <v>62529580</v>
      </c>
      <c r="F37" s="24">
        <f>SUM(F38:F48)</f>
        <v>9341762</v>
      </c>
    </row>
    <row r="38" spans="1:6" s="30" customFormat="1" ht="13.5" customHeight="1">
      <c r="A38" s="423" t="s">
        <v>128</v>
      </c>
      <c r="B38" s="424" t="s">
        <v>129</v>
      </c>
      <c r="C38" s="25" t="s">
        <v>130</v>
      </c>
      <c r="D38" s="425"/>
      <c r="E38" s="425"/>
      <c r="F38" s="425">
        <v>134800</v>
      </c>
    </row>
    <row r="39" spans="1:6" s="30" customFormat="1" ht="13.5" customHeight="1">
      <c r="A39" s="371" t="s">
        <v>131</v>
      </c>
      <c r="B39" s="426" t="s">
        <v>132</v>
      </c>
      <c r="C39" s="28" t="s">
        <v>133</v>
      </c>
      <c r="D39" s="430">
        <v>8684000</v>
      </c>
      <c r="E39" s="430">
        <v>8684000</v>
      </c>
      <c r="F39" s="430">
        <v>5202887</v>
      </c>
    </row>
    <row r="40" spans="1:6" s="30" customFormat="1" ht="13.5" customHeight="1">
      <c r="A40" s="371" t="s">
        <v>134</v>
      </c>
      <c r="B40" s="426" t="s">
        <v>135</v>
      </c>
      <c r="C40" s="28" t="s">
        <v>136</v>
      </c>
      <c r="D40" s="430">
        <v>19670000</v>
      </c>
      <c r="E40" s="430">
        <v>19670000</v>
      </c>
      <c r="F40" s="430">
        <v>1219641</v>
      </c>
    </row>
    <row r="41" spans="1:6" s="30" customFormat="1" ht="13.5" customHeight="1">
      <c r="A41" s="371" t="s">
        <v>137</v>
      </c>
      <c r="B41" s="426" t="s">
        <v>138</v>
      </c>
      <c r="C41" s="28" t="s">
        <v>139</v>
      </c>
      <c r="D41" s="430">
        <v>6000000</v>
      </c>
      <c r="E41" s="430">
        <v>6000000</v>
      </c>
      <c r="F41" s="430"/>
    </row>
    <row r="42" spans="1:6" s="30" customFormat="1" ht="13.5" customHeight="1">
      <c r="A42" s="371" t="s">
        <v>140</v>
      </c>
      <c r="B42" s="426" t="s">
        <v>141</v>
      </c>
      <c r="C42" s="28" t="s">
        <v>142</v>
      </c>
      <c r="D42" s="430"/>
      <c r="E42" s="430"/>
      <c r="F42" s="430"/>
    </row>
    <row r="43" spans="1:6" s="30" customFormat="1" ht="13.5" customHeight="1">
      <c r="A43" s="371" t="s">
        <v>143</v>
      </c>
      <c r="B43" s="426" t="s">
        <v>144</v>
      </c>
      <c r="C43" s="28" t="s">
        <v>145</v>
      </c>
      <c r="D43" s="430">
        <v>28175580</v>
      </c>
      <c r="E43" s="430">
        <v>28175580</v>
      </c>
      <c r="F43" s="430">
        <v>1475219</v>
      </c>
    </row>
    <row r="44" spans="1:6" s="30" customFormat="1" ht="13.5" customHeight="1">
      <c r="A44" s="371" t="s">
        <v>146</v>
      </c>
      <c r="B44" s="426" t="s">
        <v>147</v>
      </c>
      <c r="C44" s="28" t="s">
        <v>148</v>
      </c>
      <c r="D44" s="430"/>
      <c r="E44" s="430"/>
      <c r="F44" s="430"/>
    </row>
    <row r="45" spans="1:6" s="30" customFormat="1" ht="13.5" customHeight="1">
      <c r="A45" s="371" t="s">
        <v>149</v>
      </c>
      <c r="B45" s="426" t="s">
        <v>150</v>
      </c>
      <c r="C45" s="28" t="s">
        <v>151</v>
      </c>
      <c r="D45" s="430"/>
      <c r="E45" s="430"/>
      <c r="F45" s="430"/>
    </row>
    <row r="46" spans="1:6" s="30" customFormat="1" ht="13.5" customHeight="1">
      <c r="A46" s="371" t="s">
        <v>152</v>
      </c>
      <c r="B46" s="426" t="s">
        <v>153</v>
      </c>
      <c r="C46" s="28" t="s">
        <v>154</v>
      </c>
      <c r="D46" s="42"/>
      <c r="E46" s="42"/>
      <c r="F46" s="42">
        <v>346</v>
      </c>
    </row>
    <row r="47" spans="1:6" s="30" customFormat="1" ht="13.5" customHeight="1">
      <c r="A47" s="371" t="s">
        <v>155</v>
      </c>
      <c r="B47" s="428" t="s">
        <v>156</v>
      </c>
      <c r="C47" s="31" t="s">
        <v>157</v>
      </c>
      <c r="D47" s="44"/>
      <c r="E47" s="44"/>
      <c r="F47" s="44">
        <v>400000</v>
      </c>
    </row>
    <row r="48" spans="1:6" s="30" customFormat="1" ht="13.5" customHeight="1" thickBot="1">
      <c r="A48" s="427" t="s">
        <v>155</v>
      </c>
      <c r="B48" s="428" t="s">
        <v>158</v>
      </c>
      <c r="C48" s="31" t="s">
        <v>159</v>
      </c>
      <c r="D48" s="44"/>
      <c r="E48" s="44"/>
      <c r="F48" s="44">
        <v>908869</v>
      </c>
    </row>
    <row r="49" spans="1:6" s="30" customFormat="1" ht="13.5" customHeight="1" thickBot="1">
      <c r="A49" s="21" t="s">
        <v>160</v>
      </c>
      <c r="B49" s="22" t="s">
        <v>5</v>
      </c>
      <c r="C49" s="23" t="s">
        <v>161</v>
      </c>
      <c r="D49" s="24">
        <f>SUM(D50:D54)</f>
        <v>50000000</v>
      </c>
      <c r="E49" s="24">
        <f>SUM(E50:E54)</f>
        <v>50000000</v>
      </c>
      <c r="F49" s="24">
        <f>SUM(F50:F54)</f>
        <v>57480</v>
      </c>
    </row>
    <row r="50" spans="1:6" s="30" customFormat="1" ht="13.5" customHeight="1">
      <c r="A50" s="423" t="s">
        <v>162</v>
      </c>
      <c r="B50" s="424" t="s">
        <v>163</v>
      </c>
      <c r="C50" s="25" t="s">
        <v>164</v>
      </c>
      <c r="D50" s="45"/>
      <c r="E50" s="45"/>
      <c r="F50" s="45"/>
    </row>
    <row r="51" spans="1:6" s="30" customFormat="1" ht="13.5" customHeight="1">
      <c r="A51" s="371" t="s">
        <v>165</v>
      </c>
      <c r="B51" s="426" t="s">
        <v>166</v>
      </c>
      <c r="C51" s="28" t="s">
        <v>167</v>
      </c>
      <c r="D51" s="42">
        <v>50000000</v>
      </c>
      <c r="E51" s="42">
        <v>50000000</v>
      </c>
      <c r="F51" s="42">
        <v>57480</v>
      </c>
    </row>
    <row r="52" spans="1:6" s="30" customFormat="1" ht="13.5" customHeight="1">
      <c r="A52" s="371" t="s">
        <v>168</v>
      </c>
      <c r="B52" s="426" t="s">
        <v>169</v>
      </c>
      <c r="C52" s="28" t="s">
        <v>170</v>
      </c>
      <c r="D52" s="42"/>
      <c r="E52" s="42"/>
      <c r="F52" s="42"/>
    </row>
    <row r="53" spans="1:6" s="30" customFormat="1" ht="13.5" customHeight="1">
      <c r="A53" s="371" t="s">
        <v>171</v>
      </c>
      <c r="B53" s="426" t="s">
        <v>172</v>
      </c>
      <c r="C53" s="28" t="s">
        <v>173</v>
      </c>
      <c r="D53" s="42"/>
      <c r="E53" s="42"/>
      <c r="F53" s="42"/>
    </row>
    <row r="54" spans="1:6" s="30" customFormat="1" ht="13.5" customHeight="1" thickBot="1">
      <c r="A54" s="46" t="s">
        <v>174</v>
      </c>
      <c r="B54" s="428" t="s">
        <v>175</v>
      </c>
      <c r="C54" s="31" t="s">
        <v>176</v>
      </c>
      <c r="D54" s="44"/>
      <c r="E54" s="44"/>
      <c r="F54" s="44"/>
    </row>
    <row r="55" spans="1:6" s="30" customFormat="1" ht="13.5" customHeight="1" thickBot="1">
      <c r="A55" s="21" t="s">
        <v>177</v>
      </c>
      <c r="B55" s="22" t="s">
        <v>178</v>
      </c>
      <c r="C55" s="23" t="s">
        <v>179</v>
      </c>
      <c r="D55" s="24">
        <f>SUM(D56:D58)</f>
        <v>0</v>
      </c>
      <c r="E55" s="24">
        <f>SUM(E56:E58)</f>
        <v>0</v>
      </c>
      <c r="F55" s="24">
        <f>SUM(F56:F58)</f>
        <v>1000000</v>
      </c>
    </row>
    <row r="56" spans="1:6" s="30" customFormat="1" ht="13.5" customHeight="1">
      <c r="A56" s="423" t="s">
        <v>180</v>
      </c>
      <c r="B56" s="424" t="s">
        <v>181</v>
      </c>
      <c r="C56" s="25" t="s">
        <v>182</v>
      </c>
      <c r="D56" s="425"/>
      <c r="E56" s="425"/>
      <c r="F56" s="425"/>
    </row>
    <row r="57" spans="1:6" s="30" customFormat="1" ht="13.5" customHeight="1">
      <c r="A57" s="371" t="s">
        <v>183</v>
      </c>
      <c r="B57" s="426" t="s">
        <v>184</v>
      </c>
      <c r="C57" s="28" t="s">
        <v>185</v>
      </c>
      <c r="D57" s="430"/>
      <c r="E57" s="430"/>
      <c r="F57" s="430"/>
    </row>
    <row r="58" spans="1:6" s="30" customFormat="1" ht="13.5" customHeight="1">
      <c r="A58" s="371" t="s">
        <v>186</v>
      </c>
      <c r="B58" s="426" t="s">
        <v>187</v>
      </c>
      <c r="C58" s="28" t="s">
        <v>188</v>
      </c>
      <c r="D58" s="430"/>
      <c r="E58" s="430"/>
      <c r="F58" s="430">
        <v>1000000</v>
      </c>
    </row>
    <row r="59" spans="1:6" s="30" customFormat="1" ht="13.5" customHeight="1" thickBot="1">
      <c r="A59" s="427" t="s">
        <v>186</v>
      </c>
      <c r="B59" s="428"/>
      <c r="C59" s="31" t="s">
        <v>189</v>
      </c>
      <c r="D59" s="431"/>
      <c r="E59" s="431"/>
      <c r="F59" s="431"/>
    </row>
    <row r="60" spans="1:6" s="30" customFormat="1" ht="13.5" customHeight="1" thickBot="1">
      <c r="A60" s="21" t="s">
        <v>190</v>
      </c>
      <c r="B60" s="22" t="s">
        <v>7</v>
      </c>
      <c r="C60" s="32" t="s">
        <v>191</v>
      </c>
      <c r="D60" s="24">
        <f>SUM(D61:D63)</f>
        <v>0</v>
      </c>
      <c r="E60" s="24">
        <f>SUM(E61:E63)</f>
        <v>0</v>
      </c>
      <c r="F60" s="24">
        <f>SUM(F61:F63)</f>
        <v>0</v>
      </c>
    </row>
    <row r="61" spans="1:6" s="30" customFormat="1" ht="13.5" customHeight="1">
      <c r="A61" s="423" t="s">
        <v>192</v>
      </c>
      <c r="B61" s="424" t="s">
        <v>193</v>
      </c>
      <c r="C61" s="25" t="s">
        <v>194</v>
      </c>
      <c r="D61" s="42"/>
      <c r="E61" s="42"/>
      <c r="F61" s="42"/>
    </row>
    <row r="62" spans="1:6" s="30" customFormat="1" ht="13.5" customHeight="1">
      <c r="A62" s="371" t="s">
        <v>195</v>
      </c>
      <c r="B62" s="426" t="s">
        <v>196</v>
      </c>
      <c r="C62" s="28" t="s">
        <v>197</v>
      </c>
      <c r="D62" s="42"/>
      <c r="E62" s="42"/>
      <c r="F62" s="42"/>
    </row>
    <row r="63" spans="1:6" s="30" customFormat="1" ht="13.5" customHeight="1">
      <c r="A63" s="371" t="s">
        <v>198</v>
      </c>
      <c r="B63" s="426" t="s">
        <v>199</v>
      </c>
      <c r="C63" s="28" t="s">
        <v>200</v>
      </c>
      <c r="D63" s="42"/>
      <c r="E63" s="42"/>
      <c r="F63" s="42"/>
    </row>
    <row r="64" spans="1:6" s="30" customFormat="1" ht="13.5" customHeight="1" thickBot="1">
      <c r="A64" s="427" t="s">
        <v>198</v>
      </c>
      <c r="B64" s="428" t="s">
        <v>201</v>
      </c>
      <c r="C64" s="31" t="s">
        <v>202</v>
      </c>
      <c r="D64" s="42"/>
      <c r="E64" s="42"/>
      <c r="F64" s="42"/>
    </row>
    <row r="65" spans="1:6" s="30" customFormat="1" ht="13.5" customHeight="1" thickBot="1">
      <c r="A65" s="21" t="s">
        <v>203</v>
      </c>
      <c r="B65" s="22" t="s">
        <v>204</v>
      </c>
      <c r="C65" s="23" t="s">
        <v>205</v>
      </c>
      <c r="D65" s="35">
        <f>D6+D13+D20+D27+D37+D49+D55+D60</f>
        <v>948790380</v>
      </c>
      <c r="E65" s="35">
        <f>E6+E13+E20+E27+E37+E49+E55+E60</f>
        <v>930816295</v>
      </c>
      <c r="F65" s="35">
        <f>F6+F13+F20+F27+F37+F49+F55+F60</f>
        <v>417147377</v>
      </c>
    </row>
    <row r="66" spans="1:6" s="30" customFormat="1" ht="13.5" customHeight="1" thickBot="1">
      <c r="A66" s="21" t="s">
        <v>206</v>
      </c>
      <c r="B66" s="47" t="s">
        <v>207</v>
      </c>
      <c r="C66" s="32" t="s">
        <v>208</v>
      </c>
      <c r="D66" s="24"/>
      <c r="E66" s="24"/>
      <c r="F66" s="24"/>
    </row>
    <row r="67" spans="1:6" s="30" customFormat="1" ht="13.5" customHeight="1" thickBot="1">
      <c r="A67" s="21" t="s">
        <v>209</v>
      </c>
      <c r="B67" s="47" t="s">
        <v>210</v>
      </c>
      <c r="C67" s="32" t="s">
        <v>211</v>
      </c>
      <c r="D67" s="24"/>
      <c r="E67" s="24"/>
      <c r="F67" s="24"/>
    </row>
    <row r="68" spans="1:6" s="30" customFormat="1" ht="13.5" customHeight="1" thickBot="1">
      <c r="A68" s="21" t="s">
        <v>212</v>
      </c>
      <c r="B68" s="47" t="s">
        <v>213</v>
      </c>
      <c r="C68" s="32" t="s">
        <v>214</v>
      </c>
      <c r="D68" s="24">
        <f>SUM(D69:D70)</f>
        <v>571867613</v>
      </c>
      <c r="E68" s="24">
        <f>SUM(E69:E70)</f>
        <v>571867613</v>
      </c>
      <c r="F68" s="24">
        <f>SUM(F69:F70)</f>
        <v>623118758</v>
      </c>
    </row>
    <row r="69" spans="1:6" s="30" customFormat="1" ht="13.5" customHeight="1">
      <c r="A69" s="432" t="s">
        <v>215</v>
      </c>
      <c r="B69" s="433" t="s">
        <v>216</v>
      </c>
      <c r="C69" s="48" t="s">
        <v>217</v>
      </c>
      <c r="D69" s="49">
        <v>571867613</v>
      </c>
      <c r="E69" s="49">
        <v>571867613</v>
      </c>
      <c r="F69" s="49">
        <v>623118758</v>
      </c>
    </row>
    <row r="70" spans="1:6" s="30" customFormat="1" ht="13.5" customHeight="1" thickBot="1">
      <c r="A70" s="434" t="s">
        <v>218</v>
      </c>
      <c r="B70" s="435" t="s">
        <v>219</v>
      </c>
      <c r="C70" s="50" t="s">
        <v>220</v>
      </c>
      <c r="D70" s="51"/>
      <c r="E70" s="51"/>
      <c r="F70" s="51"/>
    </row>
    <row r="71" spans="1:6" s="27" customFormat="1" ht="13.5" customHeight="1" thickBot="1">
      <c r="A71" s="21" t="s">
        <v>221</v>
      </c>
      <c r="B71" s="47" t="s">
        <v>222</v>
      </c>
      <c r="C71" s="32" t="s">
        <v>223</v>
      </c>
      <c r="D71" s="24">
        <f>SUM(D72)</f>
        <v>0</v>
      </c>
      <c r="E71" s="24">
        <f>SUM(E72)</f>
        <v>0</v>
      </c>
      <c r="F71" s="24">
        <f>SUM(F72)</f>
        <v>1912065</v>
      </c>
    </row>
    <row r="72" spans="1:6" s="30" customFormat="1" ht="13.5" customHeight="1" thickBot="1">
      <c r="A72" s="423" t="s">
        <v>224</v>
      </c>
      <c r="B72" s="424" t="s">
        <v>225</v>
      </c>
      <c r="C72" s="25" t="s">
        <v>1094</v>
      </c>
      <c r="D72" s="42"/>
      <c r="E72" s="42"/>
      <c r="F72" s="42">
        <v>1912065</v>
      </c>
    </row>
    <row r="73" spans="1:6" s="30" customFormat="1" ht="13.5" customHeight="1" thickBot="1">
      <c r="A73" s="21" t="s">
        <v>227</v>
      </c>
      <c r="B73" s="47" t="s">
        <v>228</v>
      </c>
      <c r="C73" s="32" t="s">
        <v>229</v>
      </c>
      <c r="D73" s="24"/>
      <c r="E73" s="24"/>
      <c r="F73" s="24"/>
    </row>
    <row r="74" spans="1:6" s="27" customFormat="1" ht="13.5" customHeight="1" thickBot="1">
      <c r="A74" s="21" t="s">
        <v>230</v>
      </c>
      <c r="B74" s="47" t="s">
        <v>231</v>
      </c>
      <c r="C74" s="52" t="s">
        <v>232</v>
      </c>
      <c r="D74" s="35">
        <f>D66+D67+D68+D71+D73</f>
        <v>571867613</v>
      </c>
      <c r="E74" s="35">
        <f>E66+E67+E68+E71+E73</f>
        <v>571867613</v>
      </c>
      <c r="F74" s="35">
        <f>F66+F67+F68+F71+F73</f>
        <v>625030823</v>
      </c>
    </row>
    <row r="75" spans="1:6" s="27" customFormat="1" ht="13.5" customHeight="1" thickBot="1">
      <c r="A75" s="436"/>
      <c r="B75" s="47" t="s">
        <v>233</v>
      </c>
      <c r="C75" s="52" t="s">
        <v>234</v>
      </c>
      <c r="D75" s="35">
        <f>D65+D74</f>
        <v>1520657993</v>
      </c>
      <c r="E75" s="35">
        <f>E65+E74</f>
        <v>1502683908</v>
      </c>
      <c r="F75" s="35">
        <f>F65+F74</f>
        <v>1042178200</v>
      </c>
    </row>
    <row r="76" spans="2:6" s="27" customFormat="1" ht="24" customHeight="1">
      <c r="B76" s="53"/>
      <c r="C76" s="54"/>
      <c r="D76" s="55"/>
      <c r="E76" s="55"/>
      <c r="F76" s="55"/>
    </row>
    <row r="77" spans="2:6" s="27" customFormat="1" ht="24" customHeight="1">
      <c r="B77" s="53"/>
      <c r="C77" s="54"/>
      <c r="D77" s="55"/>
      <c r="E77" s="55"/>
      <c r="F77" s="55"/>
    </row>
    <row r="78" spans="2:6" s="27" customFormat="1" ht="24" customHeight="1">
      <c r="B78" s="53"/>
      <c r="C78" s="54"/>
      <c r="D78" s="55"/>
      <c r="E78" s="55"/>
      <c r="F78" s="55"/>
    </row>
    <row r="79" spans="2:6" s="27" customFormat="1" ht="24" customHeight="1">
      <c r="B79" s="53"/>
      <c r="C79" s="54"/>
      <c r="D79" s="55"/>
      <c r="E79" s="55"/>
      <c r="F79" s="55"/>
    </row>
    <row r="80" spans="2:6" s="30" customFormat="1" ht="15" customHeight="1" thickBot="1">
      <c r="B80" s="56"/>
      <c r="C80" s="57"/>
      <c r="D80" s="58"/>
      <c r="E80" s="58"/>
      <c r="F80" s="58"/>
    </row>
    <row r="81" spans="1:6" s="20" customFormat="1" ht="15.75" customHeight="1" thickBot="1">
      <c r="A81" s="59" t="s">
        <v>39</v>
      </c>
      <c r="B81" s="60" t="s">
        <v>40</v>
      </c>
      <c r="C81" s="61" t="s">
        <v>235</v>
      </c>
      <c r="D81" s="62"/>
      <c r="E81" s="62"/>
      <c r="F81" s="62"/>
    </row>
    <row r="82" spans="1:6" s="66" customFormat="1" ht="15.75" customHeight="1" thickBot="1">
      <c r="A82" s="63"/>
      <c r="B82" s="22" t="s">
        <v>0</v>
      </c>
      <c r="C82" s="64" t="s">
        <v>1084</v>
      </c>
      <c r="D82" s="24">
        <f>D83+D84+D85+D86+D87</f>
        <v>476981158</v>
      </c>
      <c r="E82" s="24">
        <f>E83+E84+E85+E86+E87</f>
        <v>625777305</v>
      </c>
      <c r="F82" s="24">
        <f>F83+F84+F85+F86+F87</f>
        <v>173025240</v>
      </c>
    </row>
    <row r="83" spans="1:6" ht="15.75" customHeight="1">
      <c r="A83" s="67" t="s">
        <v>236</v>
      </c>
      <c r="B83" s="433" t="s">
        <v>46</v>
      </c>
      <c r="C83" s="437" t="s">
        <v>237</v>
      </c>
      <c r="D83" s="438">
        <f>52010000+4550000+4050000</f>
        <v>60610000</v>
      </c>
      <c r="E83" s="438">
        <f>52010000+4550000+4050000</f>
        <v>60610000</v>
      </c>
      <c r="F83" s="438">
        <v>26659500</v>
      </c>
    </row>
    <row r="84" spans="1:6" ht="15.75" customHeight="1">
      <c r="A84" s="68" t="s">
        <v>238</v>
      </c>
      <c r="B84" s="426" t="s">
        <v>49</v>
      </c>
      <c r="C84" s="439" t="s">
        <v>8</v>
      </c>
      <c r="D84" s="430">
        <f>10500000+2500000*0.19+(4550000*0.19)+950000</f>
        <v>12789500</v>
      </c>
      <c r="E84" s="430">
        <f>10500000+2500000*0.19+(4550000*0.19)+950000</f>
        <v>12789500</v>
      </c>
      <c r="F84" s="430">
        <v>4983001</v>
      </c>
    </row>
    <row r="85" spans="1:6" ht="15.75" customHeight="1">
      <c r="A85" s="68" t="s">
        <v>239</v>
      </c>
      <c r="B85" s="426" t="s">
        <v>52</v>
      </c>
      <c r="C85" s="440" t="s">
        <v>240</v>
      </c>
      <c r="D85" s="441">
        <f>181182000+1000000+1500000+9971500</f>
        <v>193653500</v>
      </c>
      <c r="E85" s="441">
        <f>181182000+1000000+1500000+9971500-35000000+9107037</f>
        <v>167760537</v>
      </c>
      <c r="F85" s="441">
        <v>73351269</v>
      </c>
    </row>
    <row r="86" spans="1:6" ht="15.75" customHeight="1">
      <c r="A86" s="68" t="s">
        <v>241</v>
      </c>
      <c r="B86" s="426" t="s">
        <v>55</v>
      </c>
      <c r="C86" s="442" t="s">
        <v>9</v>
      </c>
      <c r="D86" s="431">
        <v>5200000</v>
      </c>
      <c r="E86" s="431">
        <v>5200000</v>
      </c>
      <c r="F86" s="431">
        <v>2523939</v>
      </c>
    </row>
    <row r="87" spans="1:6" ht="15.75" customHeight="1">
      <c r="A87" s="68" t="s">
        <v>242</v>
      </c>
      <c r="B87" s="426" t="s">
        <v>243</v>
      </c>
      <c r="C87" s="443" t="s">
        <v>10</v>
      </c>
      <c r="D87" s="431">
        <f>D90+D94+D99+D100</f>
        <v>204728158</v>
      </c>
      <c r="E87" s="431">
        <f>E90+E94+E99+E100</f>
        <v>379417268</v>
      </c>
      <c r="F87" s="431">
        <f>F90+F94+F99+F100+F88</f>
        <v>65507531</v>
      </c>
    </row>
    <row r="88" spans="1:6" ht="15.75" customHeight="1">
      <c r="A88" s="68"/>
      <c r="B88" s="426" t="s">
        <v>61</v>
      </c>
      <c r="C88" s="439" t="s">
        <v>244</v>
      </c>
      <c r="D88" s="431"/>
      <c r="E88" s="431"/>
      <c r="F88" s="431">
        <v>853166</v>
      </c>
    </row>
    <row r="89" spans="1:6" ht="15.75" customHeight="1">
      <c r="A89" s="68"/>
      <c r="B89" s="426" t="s">
        <v>245</v>
      </c>
      <c r="C89" s="444" t="s">
        <v>246</v>
      </c>
      <c r="D89" s="431"/>
      <c r="E89" s="431"/>
      <c r="F89" s="431"/>
    </row>
    <row r="90" spans="1:6" ht="15.75" customHeight="1">
      <c r="A90" s="68" t="s">
        <v>247</v>
      </c>
      <c r="B90" s="426" t="s">
        <v>248</v>
      </c>
      <c r="C90" s="444" t="s">
        <v>249</v>
      </c>
      <c r="D90" s="431">
        <v>16750787</v>
      </c>
      <c r="E90" s="431">
        <v>16750787</v>
      </c>
      <c r="F90" s="431"/>
    </row>
    <row r="91" spans="1:6" ht="15.75" customHeight="1">
      <c r="A91" s="68" t="s">
        <v>250</v>
      </c>
      <c r="B91" s="426" t="s">
        <v>251</v>
      </c>
      <c r="C91" s="444" t="s">
        <v>252</v>
      </c>
      <c r="D91" s="431"/>
      <c r="E91" s="431"/>
      <c r="F91" s="431"/>
    </row>
    <row r="92" spans="1:6" ht="15.75" customHeight="1">
      <c r="A92" s="68" t="s">
        <v>253</v>
      </c>
      <c r="B92" s="426" t="s">
        <v>254</v>
      </c>
      <c r="C92" s="445" t="s">
        <v>255</v>
      </c>
      <c r="D92" s="431"/>
      <c r="E92" s="431"/>
      <c r="F92" s="431"/>
    </row>
    <row r="93" spans="1:6" ht="15.75" customHeight="1">
      <c r="A93" s="68" t="s">
        <v>256</v>
      </c>
      <c r="B93" s="426" t="s">
        <v>257</v>
      </c>
      <c r="C93" s="445" t="s">
        <v>258</v>
      </c>
      <c r="D93" s="431"/>
      <c r="E93" s="431"/>
      <c r="F93" s="431"/>
    </row>
    <row r="94" spans="1:6" ht="15.75" customHeight="1">
      <c r="A94" s="68" t="s">
        <v>259</v>
      </c>
      <c r="B94" s="426" t="s">
        <v>260</v>
      </c>
      <c r="C94" s="444" t="s">
        <v>261</v>
      </c>
      <c r="D94" s="431">
        <v>1623000</v>
      </c>
      <c r="E94" s="431">
        <v>1623000</v>
      </c>
      <c r="F94" s="431">
        <v>1027500</v>
      </c>
    </row>
    <row r="95" spans="1:6" ht="15.75" customHeight="1">
      <c r="A95" s="68" t="s">
        <v>262</v>
      </c>
      <c r="B95" s="426" t="s">
        <v>263</v>
      </c>
      <c r="C95" s="444" t="s">
        <v>264</v>
      </c>
      <c r="D95" s="431"/>
      <c r="E95" s="431"/>
      <c r="F95" s="431"/>
    </row>
    <row r="96" spans="1:6" ht="15.75" customHeight="1">
      <c r="A96" s="68" t="s">
        <v>265</v>
      </c>
      <c r="B96" s="426" t="s">
        <v>266</v>
      </c>
      <c r="C96" s="445" t="s">
        <v>267</v>
      </c>
      <c r="D96" s="431"/>
      <c r="E96" s="431"/>
      <c r="F96" s="431"/>
    </row>
    <row r="97" spans="1:6" ht="15.75" customHeight="1">
      <c r="A97" s="68" t="s">
        <v>268</v>
      </c>
      <c r="B97" s="446" t="s">
        <v>269</v>
      </c>
      <c r="C97" s="447" t="s">
        <v>270</v>
      </c>
      <c r="D97" s="431"/>
      <c r="E97" s="431"/>
      <c r="F97" s="431"/>
    </row>
    <row r="98" spans="1:6" ht="15.75" customHeight="1">
      <c r="A98" s="68" t="s">
        <v>271</v>
      </c>
      <c r="B98" s="426" t="s">
        <v>272</v>
      </c>
      <c r="C98" s="445" t="s">
        <v>273</v>
      </c>
      <c r="D98" s="431"/>
      <c r="E98" s="431"/>
      <c r="F98" s="431"/>
    </row>
    <row r="99" spans="1:6" ht="15.75" customHeight="1">
      <c r="A99" s="68" t="s">
        <v>276</v>
      </c>
      <c r="B99" s="426" t="s">
        <v>274</v>
      </c>
      <c r="C99" s="445" t="s">
        <v>275</v>
      </c>
      <c r="D99" s="430">
        <f>70000000+30000000+1120000+800000</f>
        <v>101920000</v>
      </c>
      <c r="E99" s="430">
        <f>70000000+30000000+1120000+800000+1905000</f>
        <v>103825000</v>
      </c>
      <c r="F99" s="430">
        <v>63626865</v>
      </c>
    </row>
    <row r="100" spans="1:6" ht="15.75" customHeight="1" thickBot="1">
      <c r="A100" s="68" t="s">
        <v>1033</v>
      </c>
      <c r="B100" s="448" t="s">
        <v>277</v>
      </c>
      <c r="C100" s="449" t="s">
        <v>278</v>
      </c>
      <c r="D100" s="42">
        <v>84434371</v>
      </c>
      <c r="E100" s="42">
        <v>257218481</v>
      </c>
      <c r="F100" s="42"/>
    </row>
    <row r="101" spans="1:6" ht="15.75" customHeight="1" thickBot="1">
      <c r="A101" s="69"/>
      <c r="B101" s="22" t="s">
        <v>1</v>
      </c>
      <c r="C101" s="64" t="s">
        <v>1085</v>
      </c>
      <c r="D101" s="24">
        <f>D102+D103+D104</f>
        <v>571898106.56</v>
      </c>
      <c r="E101" s="24">
        <f>E102+E103+E104</f>
        <v>462507874.56</v>
      </c>
      <c r="F101" s="24">
        <f>F102+F103+F104</f>
        <v>87979098</v>
      </c>
    </row>
    <row r="102" spans="1:6" ht="15.75" customHeight="1">
      <c r="A102" s="67" t="s">
        <v>279</v>
      </c>
      <c r="B102" s="424" t="s">
        <v>66</v>
      </c>
      <c r="C102" s="439" t="s">
        <v>11</v>
      </c>
      <c r="D102" s="425">
        <f>'14.mell'!D69</f>
        <v>571898106.56</v>
      </c>
      <c r="E102" s="425">
        <f>'14.mell'!E69</f>
        <v>462507874.56</v>
      </c>
      <c r="F102" s="425">
        <v>87979098</v>
      </c>
    </row>
    <row r="103" spans="1:6" ht="15.75" customHeight="1">
      <c r="A103" s="68" t="s">
        <v>280</v>
      </c>
      <c r="B103" s="424" t="s">
        <v>72</v>
      </c>
      <c r="C103" s="450" t="s">
        <v>12</v>
      </c>
      <c r="D103" s="430"/>
      <c r="E103" s="430"/>
      <c r="F103" s="430"/>
    </row>
    <row r="104" spans="1:6" ht="15.75" customHeight="1">
      <c r="A104" s="68" t="s">
        <v>281</v>
      </c>
      <c r="B104" s="424" t="s">
        <v>78</v>
      </c>
      <c r="C104" s="75" t="s">
        <v>282</v>
      </c>
      <c r="D104" s="451">
        <v>0</v>
      </c>
      <c r="E104" s="451">
        <v>0</v>
      </c>
      <c r="F104" s="451">
        <v>0</v>
      </c>
    </row>
    <row r="105" spans="1:6" s="73" customFormat="1" ht="15.75" customHeight="1">
      <c r="A105" s="70" t="s">
        <v>283</v>
      </c>
      <c r="B105" s="71" t="s">
        <v>80</v>
      </c>
      <c r="C105" s="76" t="s">
        <v>284</v>
      </c>
      <c r="D105" s="74"/>
      <c r="E105" s="74"/>
      <c r="F105" s="74"/>
    </row>
    <row r="106" spans="1:6" s="73" customFormat="1" ht="15.75" customHeight="1" thickBot="1">
      <c r="A106" s="70" t="s">
        <v>285</v>
      </c>
      <c r="B106" s="71" t="s">
        <v>286</v>
      </c>
      <c r="C106" s="77" t="s">
        <v>287</v>
      </c>
      <c r="D106" s="74"/>
      <c r="E106" s="74"/>
      <c r="F106" s="74"/>
    </row>
    <row r="107" spans="1:8" ht="15.75" customHeight="1" thickBot="1">
      <c r="A107" s="21" t="s">
        <v>288</v>
      </c>
      <c r="B107" s="22" t="s">
        <v>2</v>
      </c>
      <c r="C107" s="78" t="s">
        <v>289</v>
      </c>
      <c r="D107" s="24">
        <f>D82+D101</f>
        <v>1048879264.56</v>
      </c>
      <c r="E107" s="24">
        <f>E82+E101</f>
        <v>1088285179.56</v>
      </c>
      <c r="F107" s="24">
        <f>F82+F101</f>
        <v>261004338</v>
      </c>
      <c r="H107" s="547"/>
    </row>
    <row r="108" spans="1:6" ht="15.75" customHeight="1" thickBot="1">
      <c r="A108" s="21" t="s">
        <v>290</v>
      </c>
      <c r="B108" s="22" t="s">
        <v>3</v>
      </c>
      <c r="C108" s="78" t="s">
        <v>291</v>
      </c>
      <c r="D108" s="24"/>
      <c r="E108" s="24"/>
      <c r="F108" s="24"/>
    </row>
    <row r="109" spans="1:6" ht="15.75" customHeight="1" thickBot="1">
      <c r="A109" s="21" t="s">
        <v>292</v>
      </c>
      <c r="B109" s="22" t="s">
        <v>4</v>
      </c>
      <c r="C109" s="78" t="s">
        <v>293</v>
      </c>
      <c r="D109" s="24"/>
      <c r="E109" s="24"/>
      <c r="F109" s="24"/>
    </row>
    <row r="110" spans="1:6" ht="15.75" customHeight="1" thickBot="1">
      <c r="A110" s="21" t="s">
        <v>294</v>
      </c>
      <c r="B110" s="22" t="s">
        <v>5</v>
      </c>
      <c r="C110" s="78" t="s">
        <v>295</v>
      </c>
      <c r="D110" s="35">
        <f>SUM(D111+D112)</f>
        <v>471778728</v>
      </c>
      <c r="E110" s="35">
        <f>SUM(E111+E112)</f>
        <v>414398728</v>
      </c>
      <c r="F110" s="35">
        <f>SUM(F111+F112)</f>
        <v>186085361</v>
      </c>
    </row>
    <row r="111" spans="1:6" ht="15.75" customHeight="1">
      <c r="A111" s="79" t="s">
        <v>1011</v>
      </c>
      <c r="B111" s="80" t="s">
        <v>297</v>
      </c>
      <c r="C111" s="81" t="s">
        <v>298</v>
      </c>
      <c r="D111" s="82">
        <v>8967233</v>
      </c>
      <c r="E111" s="82">
        <v>8967233</v>
      </c>
      <c r="F111" s="82">
        <v>10863040</v>
      </c>
    </row>
    <row r="112" spans="1:6" ht="15.75" customHeight="1" thickBot="1">
      <c r="A112" s="83" t="s">
        <v>1035</v>
      </c>
      <c r="B112" s="424" t="s">
        <v>299</v>
      </c>
      <c r="C112" s="452" t="s">
        <v>300</v>
      </c>
      <c r="D112" s="451">
        <v>462811495</v>
      </c>
      <c r="E112" s="451">
        <v>405431495</v>
      </c>
      <c r="F112" s="451">
        <v>175222321</v>
      </c>
    </row>
    <row r="113" spans="1:6" s="66" customFormat="1" ht="15.75" customHeight="1" thickBot="1">
      <c r="A113" s="21" t="s">
        <v>301</v>
      </c>
      <c r="B113" s="22" t="s">
        <v>6</v>
      </c>
      <c r="C113" s="78" t="s">
        <v>302</v>
      </c>
      <c r="D113" s="84"/>
      <c r="E113" s="84"/>
      <c r="F113" s="84"/>
    </row>
    <row r="114" spans="1:6" ht="15.75" customHeight="1" thickBot="1">
      <c r="A114" s="85"/>
      <c r="B114" s="22" t="s">
        <v>303</v>
      </c>
      <c r="C114" s="78" t="s">
        <v>304</v>
      </c>
      <c r="D114" s="86">
        <f>D108+D109+D110</f>
        <v>471778728</v>
      </c>
      <c r="E114" s="86">
        <f>E108+E109+E110</f>
        <v>414398728</v>
      </c>
      <c r="F114" s="86">
        <f>F108+F109+F110</f>
        <v>186085361</v>
      </c>
    </row>
    <row r="115" spans="1:6" ht="15.75" customHeight="1" thickBot="1">
      <c r="A115" s="87"/>
      <c r="B115" s="88" t="s">
        <v>305</v>
      </c>
      <c r="C115" s="89" t="s">
        <v>306</v>
      </c>
      <c r="D115" s="86">
        <f>D107+D114</f>
        <v>1520657992.56</v>
      </c>
      <c r="E115" s="86">
        <f>E107+E114</f>
        <v>1502683907.56</v>
      </c>
      <c r="F115" s="86">
        <f>F107+F114</f>
        <v>447089699</v>
      </c>
    </row>
    <row r="116" spans="4:6" ht="13.5" customHeight="1">
      <c r="D116" s="481">
        <f>D75-D115</f>
        <v>0.440000057220459</v>
      </c>
      <c r="E116" s="481">
        <f>E75-E115</f>
        <v>0.440000057220459</v>
      </c>
      <c r="F116" s="481">
        <f>F75-F115</f>
        <v>595088501</v>
      </c>
    </row>
    <row r="117" spans="2:6" ht="13.5" customHeight="1">
      <c r="B117" s="93"/>
      <c r="C117" s="94"/>
      <c r="D117" s="95"/>
      <c r="E117" s="95"/>
      <c r="F117" s="95"/>
    </row>
    <row r="118" spans="2:6" ht="13.5" customHeight="1">
      <c r="B118" s="93"/>
      <c r="C118" s="94"/>
      <c r="D118" s="95"/>
      <c r="E118" s="95"/>
      <c r="F118" s="95"/>
    </row>
    <row r="119" spans="4:6" ht="12.75">
      <c r="D119" s="96"/>
      <c r="E119" s="96"/>
      <c r="F119" s="96"/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Header>&amp;Ca 12/2020. (VII. 10.) önkormányzati rendelet 7/a. melléklete</oddHeader>
  </headerFooter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SheetLayoutView="100" workbookViewId="0" topLeftCell="A1">
      <selection activeCell="C119" sqref="C119"/>
    </sheetView>
  </sheetViews>
  <sheetFormatPr defaultColWidth="9.00390625" defaultRowHeight="12.75"/>
  <cols>
    <col min="1" max="1" width="14.00390625" style="15" customWidth="1"/>
    <col min="2" max="2" width="14.00390625" style="235" customWidth="1"/>
    <col min="3" max="3" width="79.125" style="15" customWidth="1"/>
    <col min="4" max="6" width="25.00390625" style="15" customWidth="1"/>
    <col min="7" max="16384" width="9.375" style="15" customWidth="1"/>
  </cols>
  <sheetData>
    <row r="1" spans="2:6" s="1" customFormat="1" ht="21" customHeight="1" thickBot="1">
      <c r="B1" s="2"/>
      <c r="C1" s="3"/>
      <c r="D1" s="167"/>
      <c r="E1" s="167"/>
      <c r="F1" s="167"/>
    </row>
    <row r="2" spans="1:6" s="9" customFormat="1" ht="36" customHeight="1">
      <c r="A2" s="168" t="s">
        <v>39</v>
      </c>
      <c r="B2" s="169" t="s">
        <v>492</v>
      </c>
      <c r="C2" s="6" t="s">
        <v>1092</v>
      </c>
      <c r="D2" s="170"/>
      <c r="E2" s="170"/>
      <c r="F2" s="170"/>
    </row>
    <row r="3" spans="1:6" s="9" customFormat="1" ht="24.75" thickBot="1">
      <c r="A3" s="171"/>
      <c r="B3" s="172" t="s">
        <v>37</v>
      </c>
      <c r="C3" s="10" t="s">
        <v>38</v>
      </c>
      <c r="D3" s="173"/>
      <c r="E3" s="173"/>
      <c r="F3" s="173"/>
    </row>
    <row r="4" spans="1:6" s="177" customFormat="1" ht="15.75" customHeight="1" thickBot="1">
      <c r="A4" s="174"/>
      <c r="B4" s="175"/>
      <c r="C4" s="175"/>
      <c r="D4" s="176"/>
      <c r="E4" s="176"/>
      <c r="F4" s="176" t="s">
        <v>493</v>
      </c>
    </row>
    <row r="5" spans="1:6" ht="24.75" thickBot="1">
      <c r="A5" s="178"/>
      <c r="B5" s="179" t="s">
        <v>40</v>
      </c>
      <c r="C5" s="180" t="s">
        <v>41</v>
      </c>
      <c r="D5" s="181" t="s">
        <v>1072</v>
      </c>
      <c r="E5" s="181" t="s">
        <v>1079</v>
      </c>
      <c r="F5" s="181" t="s">
        <v>1087</v>
      </c>
    </row>
    <row r="6" spans="1:6" s="20" customFormat="1" ht="12.75" customHeight="1" thickBot="1">
      <c r="A6" s="182"/>
      <c r="B6" s="183"/>
      <c r="C6" s="184"/>
      <c r="D6" s="185"/>
      <c r="E6" s="185"/>
      <c r="F6" s="185"/>
    </row>
    <row r="7" spans="1:6" s="20" customFormat="1" ht="15.75" customHeight="1" thickBot="1">
      <c r="A7" s="186"/>
      <c r="B7" s="187"/>
      <c r="C7" s="187" t="s">
        <v>42</v>
      </c>
      <c r="D7" s="188"/>
      <c r="E7" s="188"/>
      <c r="F7" s="188"/>
    </row>
    <row r="8" spans="1:6" s="27" customFormat="1" ht="13.5" customHeight="1" thickBot="1">
      <c r="A8" s="189" t="s">
        <v>126</v>
      </c>
      <c r="B8" s="183" t="s">
        <v>0</v>
      </c>
      <c r="C8" s="190" t="s">
        <v>494</v>
      </c>
      <c r="D8" s="191">
        <f>SUM(D9:D19)</f>
        <v>0</v>
      </c>
      <c r="E8" s="191">
        <f>SUM(E9:E19)</f>
        <v>0</v>
      </c>
      <c r="F8" s="191">
        <f>SUM(F9:F19)</f>
        <v>219024</v>
      </c>
    </row>
    <row r="9" spans="1:6" s="27" customFormat="1" ht="13.5" customHeight="1">
      <c r="A9" s="192" t="s">
        <v>128</v>
      </c>
      <c r="B9" s="193" t="s">
        <v>46</v>
      </c>
      <c r="C9" s="194" t="s">
        <v>130</v>
      </c>
      <c r="D9" s="195"/>
      <c r="E9" s="195"/>
      <c r="F9" s="195"/>
    </row>
    <row r="10" spans="1:6" s="27" customFormat="1" ht="13.5" customHeight="1">
      <c r="A10" s="196" t="s">
        <v>131</v>
      </c>
      <c r="B10" s="197" t="s">
        <v>49</v>
      </c>
      <c r="C10" s="198" t="s">
        <v>133</v>
      </c>
      <c r="D10" s="199"/>
      <c r="E10" s="199"/>
      <c r="F10" s="199"/>
    </row>
    <row r="11" spans="1:6" s="27" customFormat="1" ht="13.5" customHeight="1">
      <c r="A11" s="196" t="s">
        <v>134</v>
      </c>
      <c r="B11" s="197" t="s">
        <v>52</v>
      </c>
      <c r="C11" s="198" t="s">
        <v>136</v>
      </c>
      <c r="D11" s="200"/>
      <c r="E11" s="200"/>
      <c r="F11" s="200"/>
    </row>
    <row r="12" spans="1:6" s="27" customFormat="1" ht="13.5" customHeight="1">
      <c r="A12" s="196" t="s">
        <v>137</v>
      </c>
      <c r="B12" s="197" t="s">
        <v>55</v>
      </c>
      <c r="C12" s="198" t="s">
        <v>139</v>
      </c>
      <c r="D12" s="200"/>
      <c r="E12" s="200"/>
      <c r="F12" s="200"/>
    </row>
    <row r="13" spans="1:6" s="27" customFormat="1" ht="13.5" customHeight="1">
      <c r="A13" s="196" t="s">
        <v>140</v>
      </c>
      <c r="B13" s="197" t="s">
        <v>58</v>
      </c>
      <c r="C13" s="198" t="s">
        <v>142</v>
      </c>
      <c r="D13" s="200"/>
      <c r="E13" s="200"/>
      <c r="F13" s="200"/>
    </row>
    <row r="14" spans="1:6" s="27" customFormat="1" ht="13.5" customHeight="1">
      <c r="A14" s="196" t="s">
        <v>143</v>
      </c>
      <c r="B14" s="197" t="s">
        <v>61</v>
      </c>
      <c r="C14" s="198" t="s">
        <v>495</v>
      </c>
      <c r="D14" s="200"/>
      <c r="E14" s="200"/>
      <c r="F14" s="200"/>
    </row>
    <row r="15" spans="1:6" s="27" customFormat="1" ht="13.5" customHeight="1">
      <c r="A15" s="196" t="s">
        <v>146</v>
      </c>
      <c r="B15" s="197" t="s">
        <v>245</v>
      </c>
      <c r="C15" s="201" t="s">
        <v>496</v>
      </c>
      <c r="D15" s="200"/>
      <c r="E15" s="200"/>
      <c r="F15" s="200"/>
    </row>
    <row r="16" spans="1:6" s="27" customFormat="1" ht="13.5" customHeight="1">
      <c r="A16" s="196" t="s">
        <v>149</v>
      </c>
      <c r="B16" s="197" t="s">
        <v>248</v>
      </c>
      <c r="C16" s="198" t="s">
        <v>497</v>
      </c>
      <c r="D16" s="202"/>
      <c r="E16" s="202"/>
      <c r="F16" s="202">
        <v>1</v>
      </c>
    </row>
    <row r="17" spans="1:6" s="30" customFormat="1" ht="13.5" customHeight="1">
      <c r="A17" s="196" t="s">
        <v>152</v>
      </c>
      <c r="B17" s="197" t="s">
        <v>251</v>
      </c>
      <c r="C17" s="198" t="s">
        <v>154</v>
      </c>
      <c r="D17" s="200"/>
      <c r="E17" s="200"/>
      <c r="F17" s="200"/>
    </row>
    <row r="18" spans="1:6" s="30" customFormat="1" ht="13.5" customHeight="1">
      <c r="A18" s="196" t="s">
        <v>155</v>
      </c>
      <c r="B18" s="197" t="s">
        <v>254</v>
      </c>
      <c r="C18" s="198" t="s">
        <v>157</v>
      </c>
      <c r="D18" s="203"/>
      <c r="E18" s="203"/>
      <c r="F18" s="203"/>
    </row>
    <row r="19" spans="1:6" s="30" customFormat="1" ht="13.5" customHeight="1" thickBot="1">
      <c r="A19" s="204" t="s">
        <v>1093</v>
      </c>
      <c r="B19" s="197" t="s">
        <v>257</v>
      </c>
      <c r="C19" s="201" t="s">
        <v>159</v>
      </c>
      <c r="D19" s="203"/>
      <c r="E19" s="203"/>
      <c r="F19" s="203">
        <v>219023</v>
      </c>
    </row>
    <row r="20" spans="1:6" s="27" customFormat="1" ht="13.5" customHeight="1" thickBot="1">
      <c r="A20" s="189" t="s">
        <v>63</v>
      </c>
      <c r="B20" s="183" t="s">
        <v>1</v>
      </c>
      <c r="C20" s="190" t="s">
        <v>498</v>
      </c>
      <c r="D20" s="205"/>
      <c r="E20" s="205"/>
      <c r="F20" s="205"/>
    </row>
    <row r="21" spans="1:6" s="30" customFormat="1" ht="13.5" customHeight="1">
      <c r="A21" s="192" t="s">
        <v>65</v>
      </c>
      <c r="B21" s="197" t="s">
        <v>66</v>
      </c>
      <c r="C21" s="206" t="s">
        <v>67</v>
      </c>
      <c r="D21" s="200"/>
      <c r="E21" s="200"/>
      <c r="F21" s="200"/>
    </row>
    <row r="22" spans="1:6" s="30" customFormat="1" ht="13.5" customHeight="1">
      <c r="A22" s="196" t="s">
        <v>71</v>
      </c>
      <c r="B22" s="197" t="s">
        <v>69</v>
      </c>
      <c r="C22" s="198" t="s">
        <v>499</v>
      </c>
      <c r="D22" s="200"/>
      <c r="E22" s="200"/>
      <c r="F22" s="200"/>
    </row>
    <row r="23" spans="1:6" s="30" customFormat="1" ht="13.5" customHeight="1">
      <c r="A23" s="196" t="s">
        <v>77</v>
      </c>
      <c r="B23" s="197" t="s">
        <v>72</v>
      </c>
      <c r="C23" s="198" t="s">
        <v>500</v>
      </c>
      <c r="D23" s="200"/>
      <c r="E23" s="200"/>
      <c r="F23" s="200"/>
    </row>
    <row r="24" spans="1:6" s="30" customFormat="1" ht="13.5" customHeight="1" thickBot="1">
      <c r="A24" s="204" t="s">
        <v>77</v>
      </c>
      <c r="B24" s="197" t="s">
        <v>75</v>
      </c>
      <c r="C24" s="198" t="s">
        <v>501</v>
      </c>
      <c r="D24" s="200"/>
      <c r="E24" s="200"/>
      <c r="F24" s="200"/>
    </row>
    <row r="25" spans="1:6" s="30" customFormat="1" ht="13.5" customHeight="1" thickBot="1">
      <c r="A25" s="189" t="s">
        <v>101</v>
      </c>
      <c r="B25" s="207" t="s">
        <v>2</v>
      </c>
      <c r="C25" s="208" t="s">
        <v>13</v>
      </c>
      <c r="D25" s="209"/>
      <c r="E25" s="209"/>
      <c r="F25" s="209"/>
    </row>
    <row r="26" spans="1:6" s="30" customFormat="1" ht="13.5" customHeight="1" thickBot="1">
      <c r="A26" s="189" t="s">
        <v>82</v>
      </c>
      <c r="B26" s="207" t="s">
        <v>3</v>
      </c>
      <c r="C26" s="208" t="s">
        <v>502</v>
      </c>
      <c r="D26" s="205"/>
      <c r="E26" s="205"/>
      <c r="F26" s="205"/>
    </row>
    <row r="27" spans="1:6" s="30" customFormat="1" ht="13.5" customHeight="1">
      <c r="A27" s="192" t="s">
        <v>84</v>
      </c>
      <c r="B27" s="210" t="s">
        <v>105</v>
      </c>
      <c r="C27" s="211" t="s">
        <v>86</v>
      </c>
      <c r="D27" s="212"/>
      <c r="E27" s="212"/>
      <c r="F27" s="212"/>
    </row>
    <row r="28" spans="1:6" s="30" customFormat="1" ht="13.5" customHeight="1">
      <c r="A28" s="196" t="s">
        <v>90</v>
      </c>
      <c r="B28" s="210" t="s">
        <v>503</v>
      </c>
      <c r="C28" s="211" t="s">
        <v>499</v>
      </c>
      <c r="D28" s="200"/>
      <c r="E28" s="200"/>
      <c r="F28" s="200"/>
    </row>
    <row r="29" spans="1:6" s="30" customFormat="1" ht="13.5" customHeight="1">
      <c r="A29" s="196" t="s">
        <v>96</v>
      </c>
      <c r="B29" s="210" t="s">
        <v>504</v>
      </c>
      <c r="C29" s="213" t="s">
        <v>505</v>
      </c>
      <c r="D29" s="200"/>
      <c r="E29" s="200"/>
      <c r="F29" s="200"/>
    </row>
    <row r="30" spans="1:6" s="30" customFormat="1" ht="13.5" customHeight="1" thickBot="1">
      <c r="A30" s="204" t="s">
        <v>96</v>
      </c>
      <c r="B30" s="197" t="s">
        <v>506</v>
      </c>
      <c r="C30" s="214" t="s">
        <v>507</v>
      </c>
      <c r="D30" s="215"/>
      <c r="E30" s="215"/>
      <c r="F30" s="215"/>
    </row>
    <row r="31" spans="1:6" s="30" customFormat="1" ht="13.5" customHeight="1" thickBot="1">
      <c r="A31" s="189" t="s">
        <v>160</v>
      </c>
      <c r="B31" s="207" t="s">
        <v>4</v>
      </c>
      <c r="C31" s="208" t="s">
        <v>508</v>
      </c>
      <c r="D31" s="205"/>
      <c r="E31" s="205"/>
      <c r="F31" s="205"/>
    </row>
    <row r="32" spans="1:6" s="30" customFormat="1" ht="13.5" customHeight="1">
      <c r="A32" s="192" t="s">
        <v>162</v>
      </c>
      <c r="B32" s="210" t="s">
        <v>129</v>
      </c>
      <c r="C32" s="211" t="s">
        <v>164</v>
      </c>
      <c r="D32" s="212"/>
      <c r="E32" s="212"/>
      <c r="F32" s="212"/>
    </row>
    <row r="33" spans="1:6" s="30" customFormat="1" ht="13.5" customHeight="1">
      <c r="A33" s="196" t="s">
        <v>165</v>
      </c>
      <c r="B33" s="210" t="s">
        <v>132</v>
      </c>
      <c r="C33" s="213" t="s">
        <v>167</v>
      </c>
      <c r="D33" s="216"/>
      <c r="E33" s="216"/>
      <c r="F33" s="216"/>
    </row>
    <row r="34" spans="1:6" s="30" customFormat="1" ht="13.5" customHeight="1" thickBot="1">
      <c r="A34" s="204" t="s">
        <v>168</v>
      </c>
      <c r="B34" s="197" t="s">
        <v>135</v>
      </c>
      <c r="C34" s="214" t="s">
        <v>170</v>
      </c>
      <c r="D34" s="215"/>
      <c r="E34" s="215"/>
      <c r="F34" s="215"/>
    </row>
    <row r="35" spans="1:6" s="27" customFormat="1" ht="13.5" customHeight="1" thickBot="1">
      <c r="A35" s="189" t="s">
        <v>177</v>
      </c>
      <c r="B35" s="207" t="s">
        <v>5</v>
      </c>
      <c r="C35" s="208" t="s">
        <v>14</v>
      </c>
      <c r="D35" s="209"/>
      <c r="E35" s="209"/>
      <c r="F35" s="209"/>
    </row>
    <row r="36" spans="1:6" s="27" customFormat="1" ht="13.5" customHeight="1" thickBot="1">
      <c r="A36" s="189" t="s">
        <v>190</v>
      </c>
      <c r="B36" s="207" t="s">
        <v>6</v>
      </c>
      <c r="C36" s="208" t="s">
        <v>15</v>
      </c>
      <c r="D36" s="217"/>
      <c r="E36" s="217"/>
      <c r="F36" s="217"/>
    </row>
    <row r="37" spans="1:6" s="27" customFormat="1" ht="13.5" customHeight="1" thickBot="1">
      <c r="A37" s="189" t="s">
        <v>203</v>
      </c>
      <c r="B37" s="183" t="s">
        <v>7</v>
      </c>
      <c r="C37" s="208" t="s">
        <v>509</v>
      </c>
      <c r="D37" s="218">
        <f>D8+D20+D25+D26+D31+D35</f>
        <v>0</v>
      </c>
      <c r="E37" s="218">
        <f>E8+E20+E25+E26+E31+E35</f>
        <v>0</v>
      </c>
      <c r="F37" s="218">
        <f>F8+F20+F25+F26+F31+F35</f>
        <v>219024</v>
      </c>
    </row>
    <row r="38" spans="1:6" s="27" customFormat="1" ht="13.5" customHeight="1" thickBot="1">
      <c r="A38" s="189" t="s">
        <v>230</v>
      </c>
      <c r="B38" s="219" t="s">
        <v>204</v>
      </c>
      <c r="C38" s="208" t="s">
        <v>510</v>
      </c>
      <c r="D38" s="218">
        <f>SUM(D39:D41)</f>
        <v>104469957</v>
      </c>
      <c r="E38" s="218">
        <f>SUM(E39:E41)</f>
        <v>110469957</v>
      </c>
      <c r="F38" s="218">
        <f>SUM(F39:F41)</f>
        <v>43423968</v>
      </c>
    </row>
    <row r="39" spans="1:6" s="27" customFormat="1" ht="13.5" customHeight="1">
      <c r="A39" s="192" t="s">
        <v>215</v>
      </c>
      <c r="B39" s="210" t="s">
        <v>511</v>
      </c>
      <c r="C39" s="211" t="s">
        <v>512</v>
      </c>
      <c r="D39" s="212">
        <f>33445+6113288</f>
        <v>6146733</v>
      </c>
      <c r="E39" s="212">
        <f>33445+6113288</f>
        <v>6146733</v>
      </c>
      <c r="F39" s="212">
        <v>6352350</v>
      </c>
    </row>
    <row r="40" spans="1:6" s="27" customFormat="1" ht="13.5" customHeight="1">
      <c r="A40" s="196" t="s">
        <v>218</v>
      </c>
      <c r="B40" s="210" t="s">
        <v>513</v>
      </c>
      <c r="C40" s="213" t="s">
        <v>514</v>
      </c>
      <c r="D40" s="216"/>
      <c r="E40" s="216"/>
      <c r="F40" s="216"/>
    </row>
    <row r="41" spans="1:6" s="30" customFormat="1" ht="13.5" customHeight="1" thickBot="1">
      <c r="A41" s="196" t="s">
        <v>515</v>
      </c>
      <c r="B41" s="197" t="s">
        <v>516</v>
      </c>
      <c r="C41" s="214" t="s">
        <v>517</v>
      </c>
      <c r="D41" s="215">
        <v>98323224</v>
      </c>
      <c r="E41" s="215">
        <f>98323224+6000000</f>
        <v>104323224</v>
      </c>
      <c r="F41" s="215">
        <v>37071618</v>
      </c>
    </row>
    <row r="42" spans="1:6" s="30" customFormat="1" ht="13.5" customHeight="1" thickBot="1">
      <c r="A42" s="220" t="s">
        <v>518</v>
      </c>
      <c r="B42" s="219" t="s">
        <v>303</v>
      </c>
      <c r="C42" s="221" t="s">
        <v>519</v>
      </c>
      <c r="D42" s="222">
        <f>D37+D38</f>
        <v>104469957</v>
      </c>
      <c r="E42" s="222">
        <f>E37+E38</f>
        <v>110469957</v>
      </c>
      <c r="F42" s="222">
        <f>F37+F38</f>
        <v>43642992</v>
      </c>
    </row>
    <row r="43" spans="2:6" s="30" customFormat="1" ht="13.5" customHeight="1">
      <c r="B43" s="56"/>
      <c r="C43" s="57"/>
      <c r="D43" s="58"/>
      <c r="E43" s="58"/>
      <c r="F43" s="58"/>
    </row>
    <row r="44" spans="2:6" ht="13.5" customHeight="1" thickBot="1">
      <c r="B44" s="223"/>
      <c r="C44" s="40"/>
      <c r="D44" s="224"/>
      <c r="E44" s="224"/>
      <c r="F44" s="224"/>
    </row>
    <row r="45" spans="1:6" s="20" customFormat="1" ht="13.5" customHeight="1" thickBot="1">
      <c r="A45" s="225" t="s">
        <v>39</v>
      </c>
      <c r="B45" s="226"/>
      <c r="C45" s="179" t="s">
        <v>235</v>
      </c>
      <c r="D45" s="227"/>
      <c r="E45" s="227"/>
      <c r="F45" s="227"/>
    </row>
    <row r="46" spans="1:6" s="66" customFormat="1" ht="13.5" customHeight="1" thickBot="1">
      <c r="A46" s="228" t="s">
        <v>520</v>
      </c>
      <c r="B46" s="207" t="s">
        <v>0</v>
      </c>
      <c r="C46" s="208" t="s">
        <v>521</v>
      </c>
      <c r="D46" s="191">
        <f>SUM(D47:D51)</f>
        <v>99969957</v>
      </c>
      <c r="E46" s="191">
        <f>SUM(E47:E51)</f>
        <v>102169957</v>
      </c>
      <c r="F46" s="191">
        <f>SUM(F47:F51)</f>
        <v>42907176</v>
      </c>
    </row>
    <row r="47" spans="1:6" ht="13.5" customHeight="1">
      <c r="A47" s="196" t="s">
        <v>236</v>
      </c>
      <c r="B47" s="197" t="s">
        <v>46</v>
      </c>
      <c r="C47" s="206" t="s">
        <v>237</v>
      </c>
      <c r="D47" s="229">
        <f>65987546</f>
        <v>65987546</v>
      </c>
      <c r="E47" s="229">
        <f>65987546</f>
        <v>65987546</v>
      </c>
      <c r="F47" s="229">
        <v>32697218</v>
      </c>
    </row>
    <row r="48" spans="1:6" ht="13.5" customHeight="1">
      <c r="A48" s="196" t="s">
        <v>238</v>
      </c>
      <c r="B48" s="197" t="s">
        <v>49</v>
      </c>
      <c r="C48" s="198" t="s">
        <v>8</v>
      </c>
      <c r="D48" s="230">
        <v>13370311</v>
      </c>
      <c r="E48" s="230">
        <f>13370311</f>
        <v>13370311</v>
      </c>
      <c r="F48" s="230">
        <v>6745844</v>
      </c>
    </row>
    <row r="49" spans="1:6" ht="13.5" customHeight="1">
      <c r="A49" s="196" t="s">
        <v>239</v>
      </c>
      <c r="B49" s="197" t="s">
        <v>52</v>
      </c>
      <c r="C49" s="198" t="s">
        <v>240</v>
      </c>
      <c r="D49" s="230">
        <v>20612100</v>
      </c>
      <c r="E49" s="230">
        <f>20612100+1200000+1000000</f>
        <v>22812100</v>
      </c>
      <c r="F49" s="230">
        <v>3464114</v>
      </c>
    </row>
    <row r="50" spans="1:6" ht="13.5" customHeight="1">
      <c r="A50" s="196" t="s">
        <v>241</v>
      </c>
      <c r="B50" s="197" t="s">
        <v>55</v>
      </c>
      <c r="C50" s="198" t="s">
        <v>9</v>
      </c>
      <c r="D50" s="230"/>
      <c r="E50" s="230"/>
      <c r="F50" s="230"/>
    </row>
    <row r="51" spans="1:6" ht="13.5" customHeight="1" thickBot="1">
      <c r="A51" s="196" t="s">
        <v>242</v>
      </c>
      <c r="B51" s="197" t="s">
        <v>58</v>
      </c>
      <c r="C51" s="198" t="s">
        <v>10</v>
      </c>
      <c r="D51" s="230"/>
      <c r="E51" s="230"/>
      <c r="F51" s="230"/>
    </row>
    <row r="52" spans="1:6" ht="13.5" customHeight="1" thickBot="1">
      <c r="A52" s="228" t="s">
        <v>522</v>
      </c>
      <c r="B52" s="207" t="s">
        <v>1</v>
      </c>
      <c r="C52" s="208" t="s">
        <v>523</v>
      </c>
      <c r="D52" s="191">
        <f>SUM(D53:D55)</f>
        <v>4500000</v>
      </c>
      <c r="E52" s="191">
        <f>SUM(E53:E55)</f>
        <v>8300000</v>
      </c>
      <c r="F52" s="191">
        <f>SUM(F53:F55)</f>
        <v>57177</v>
      </c>
    </row>
    <row r="53" spans="1:6" s="66" customFormat="1" ht="13.5" customHeight="1">
      <c r="A53" s="196" t="s">
        <v>279</v>
      </c>
      <c r="B53" s="197" t="s">
        <v>66</v>
      </c>
      <c r="C53" s="206" t="s">
        <v>11</v>
      </c>
      <c r="D53" s="229">
        <v>3500000</v>
      </c>
      <c r="E53" s="229">
        <v>3500000</v>
      </c>
      <c r="F53" s="229">
        <v>57177</v>
      </c>
    </row>
    <row r="54" spans="1:6" ht="13.5" customHeight="1">
      <c r="A54" s="196" t="s">
        <v>280</v>
      </c>
      <c r="B54" s="197" t="s">
        <v>69</v>
      </c>
      <c r="C54" s="198" t="s">
        <v>12</v>
      </c>
      <c r="D54" s="230">
        <v>1000000</v>
      </c>
      <c r="E54" s="230">
        <f>1000000+3800000</f>
        <v>4800000</v>
      </c>
      <c r="F54" s="230">
        <v>0</v>
      </c>
    </row>
    <row r="55" spans="1:6" ht="13.5" customHeight="1">
      <c r="A55" s="196" t="s">
        <v>281</v>
      </c>
      <c r="B55" s="197" t="s">
        <v>72</v>
      </c>
      <c r="C55" s="198" t="s">
        <v>524</v>
      </c>
      <c r="D55" s="230"/>
      <c r="E55" s="230"/>
      <c r="F55" s="230"/>
    </row>
    <row r="56" spans="1:6" ht="13.5" customHeight="1" thickBot="1">
      <c r="A56" s="196" t="s">
        <v>281</v>
      </c>
      <c r="B56" s="197" t="s">
        <v>75</v>
      </c>
      <c r="C56" s="198" t="s">
        <v>525</v>
      </c>
      <c r="D56" s="230"/>
      <c r="E56" s="230"/>
      <c r="F56" s="230"/>
    </row>
    <row r="57" spans="1:6" ht="13.5" customHeight="1" thickBot="1">
      <c r="A57" s="228" t="s">
        <v>526</v>
      </c>
      <c r="B57" s="207" t="s">
        <v>2</v>
      </c>
      <c r="C57" s="231" t="s">
        <v>527</v>
      </c>
      <c r="D57" s="232"/>
      <c r="E57" s="232"/>
      <c r="F57" s="232"/>
    </row>
    <row r="58" spans="1:6" ht="13.5" customHeight="1" thickBot="1">
      <c r="A58" s="220" t="s">
        <v>528</v>
      </c>
      <c r="B58" s="207" t="s">
        <v>3</v>
      </c>
      <c r="C58" s="233" t="s">
        <v>529</v>
      </c>
      <c r="D58" s="234">
        <f>D46+D52+D57</f>
        <v>104469957</v>
      </c>
      <c r="E58" s="234">
        <f>E46+E52+E57</f>
        <v>110469957</v>
      </c>
      <c r="F58" s="234">
        <f>F46+F52+F57</f>
        <v>42964353</v>
      </c>
    </row>
    <row r="59" spans="4:6" ht="13.5" customHeight="1">
      <c r="D59" s="236"/>
      <c r="E59" s="236"/>
      <c r="F59" s="236"/>
    </row>
    <row r="60" spans="2:6" ht="13.5" customHeight="1">
      <c r="B60" s="93"/>
      <c r="C60" s="94"/>
      <c r="D60" s="95"/>
      <c r="E60" s="95"/>
      <c r="F60" s="95"/>
    </row>
    <row r="61" spans="2:6" ht="13.5" customHeight="1">
      <c r="B61" s="93"/>
      <c r="C61" s="94"/>
      <c r="D61" s="95"/>
      <c r="E61" s="95"/>
      <c r="F61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  <headerFooter>
    <oddHeader>&amp;Ca 12/2020. (VII. 10.) önkormányzati rendelet 7.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85" zoomScaleSheetLayoutView="85" workbookViewId="0" topLeftCell="A1">
      <selection activeCell="C119" sqref="C119"/>
    </sheetView>
  </sheetViews>
  <sheetFormatPr defaultColWidth="13.50390625" defaultRowHeight="12.75"/>
  <cols>
    <col min="1" max="1" width="18.625" style="135" bestFit="1" customWidth="1"/>
    <col min="2" max="2" width="8.375" style="139" bestFit="1" customWidth="1"/>
    <col min="3" max="3" width="102.875" style="135" bestFit="1" customWidth="1"/>
    <col min="4" max="4" width="8.625" style="136" bestFit="1" customWidth="1"/>
    <col min="5" max="5" width="13.125" style="137" bestFit="1" customWidth="1"/>
    <col min="6" max="6" width="13.125" style="135" bestFit="1" customWidth="1"/>
    <col min="7" max="7" width="12.00390625" style="135" bestFit="1" customWidth="1"/>
    <col min="8" max="8" width="16.50390625" style="135" bestFit="1" customWidth="1"/>
    <col min="9" max="9" width="12.00390625" style="135" bestFit="1" customWidth="1"/>
    <col min="10" max="10" width="18.00390625" style="135" bestFit="1" customWidth="1"/>
    <col min="11" max="11" width="20.00390625" style="135" bestFit="1" customWidth="1"/>
    <col min="12" max="12" width="12.125" style="135" bestFit="1" customWidth="1"/>
    <col min="13" max="13" width="10.875" style="135" bestFit="1" customWidth="1"/>
    <col min="14" max="14" width="12.375" style="135" bestFit="1" customWidth="1"/>
    <col min="15" max="15" width="21.50390625" style="138" bestFit="1" customWidth="1"/>
    <col min="16" max="16" width="14.375" style="135" bestFit="1" customWidth="1"/>
    <col min="17" max="17" width="18.875" style="135" bestFit="1" customWidth="1"/>
    <col min="18" max="18" width="23.875" style="135" bestFit="1" customWidth="1"/>
    <col min="19" max="16384" width="13.50390625" style="237" customWidth="1"/>
  </cols>
  <sheetData>
    <row r="1" spans="2:3" ht="12.75">
      <c r="B1" s="720"/>
      <c r="C1" s="720"/>
    </row>
    <row r="3" spans="1:18" ht="30" customHeight="1">
      <c r="A3" s="750" t="s">
        <v>1098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</row>
    <row r="4" spans="2:17" ht="15" customHeight="1"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140"/>
    </row>
    <row r="5" spans="14:18" ht="13.5" thickBot="1">
      <c r="N5" s="137"/>
      <c r="O5" s="141"/>
      <c r="P5" s="141"/>
      <c r="Q5" s="141"/>
      <c r="R5" s="141" t="s">
        <v>530</v>
      </c>
    </row>
    <row r="6" spans="1:18" ht="18" customHeight="1" thickBot="1">
      <c r="A6" s="722" t="s">
        <v>34</v>
      </c>
      <c r="B6" s="722"/>
      <c r="C6" s="722"/>
      <c r="D6" s="722"/>
      <c r="E6" s="752" t="s">
        <v>385</v>
      </c>
      <c r="F6" s="754" t="s">
        <v>386</v>
      </c>
      <c r="G6" s="730" t="s">
        <v>387</v>
      </c>
      <c r="H6" s="730"/>
      <c r="I6" s="730"/>
      <c r="J6" s="730"/>
      <c r="K6" s="730"/>
      <c r="L6" s="730"/>
      <c r="M6" s="730" t="s">
        <v>388</v>
      </c>
      <c r="N6" s="730"/>
      <c r="O6" s="730"/>
      <c r="P6" s="730"/>
      <c r="Q6" s="712" t="s">
        <v>389</v>
      </c>
      <c r="R6" s="712"/>
    </row>
    <row r="7" spans="1:18" ht="25.5" customHeight="1" thickBot="1">
      <c r="A7" s="722"/>
      <c r="B7" s="722"/>
      <c r="C7" s="722"/>
      <c r="D7" s="722"/>
      <c r="E7" s="752"/>
      <c r="F7" s="754"/>
      <c r="G7" s="715" t="s">
        <v>390</v>
      </c>
      <c r="H7" s="715" t="s">
        <v>391</v>
      </c>
      <c r="I7" s="715" t="s">
        <v>392</v>
      </c>
      <c r="J7" s="715" t="s">
        <v>393</v>
      </c>
      <c r="K7" s="715" t="s">
        <v>394</v>
      </c>
      <c r="L7" s="715" t="s">
        <v>395</v>
      </c>
      <c r="M7" s="718" t="s">
        <v>396</v>
      </c>
      <c r="N7" s="718" t="s">
        <v>397</v>
      </c>
      <c r="O7" s="715" t="s">
        <v>282</v>
      </c>
      <c r="P7" s="731" t="s">
        <v>398</v>
      </c>
      <c r="Q7" s="731" t="s">
        <v>399</v>
      </c>
      <c r="R7" s="708" t="s">
        <v>400</v>
      </c>
    </row>
    <row r="8" spans="1:18" ht="30" customHeight="1">
      <c r="A8" s="723"/>
      <c r="B8" s="723"/>
      <c r="C8" s="723"/>
      <c r="D8" s="723"/>
      <c r="E8" s="753"/>
      <c r="F8" s="755"/>
      <c r="G8" s="717"/>
      <c r="H8" s="717"/>
      <c r="I8" s="717"/>
      <c r="J8" s="717"/>
      <c r="K8" s="717"/>
      <c r="L8" s="717"/>
      <c r="M8" s="719"/>
      <c r="N8" s="719"/>
      <c r="O8" s="717"/>
      <c r="P8" s="717"/>
      <c r="Q8" s="717"/>
      <c r="R8" s="709"/>
    </row>
    <row r="9" spans="1:18" ht="18.75" customHeight="1">
      <c r="A9" s="749"/>
      <c r="B9" s="749"/>
      <c r="C9" s="749"/>
      <c r="D9" s="238"/>
      <c r="E9" s="142"/>
      <c r="F9" s="142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239"/>
    </row>
    <row r="10" spans="1:18" ht="18.75" customHeight="1">
      <c r="A10" s="240" t="s">
        <v>401</v>
      </c>
      <c r="B10" s="241" t="s">
        <v>531</v>
      </c>
      <c r="C10" s="240" t="s">
        <v>532</v>
      </c>
      <c r="D10" s="242"/>
      <c r="E10" s="142">
        <f>'7.mell'!F8</f>
        <v>219024</v>
      </c>
      <c r="F10" s="142">
        <f>SUM(G10:R10)</f>
        <v>42964353</v>
      </c>
      <c r="G10" s="243">
        <f>'7.mell'!F47</f>
        <v>32697218</v>
      </c>
      <c r="H10" s="243">
        <f>'7.mell'!F48</f>
        <v>6745844</v>
      </c>
      <c r="I10" s="243">
        <f>'7.mell'!F49</f>
        <v>3464114</v>
      </c>
      <c r="J10" s="243"/>
      <c r="K10" s="243"/>
      <c r="L10" s="243"/>
      <c r="M10" s="243"/>
      <c r="N10" s="243">
        <f>'7.mell'!F53</f>
        <v>57177</v>
      </c>
      <c r="O10" s="243"/>
      <c r="P10" s="243"/>
      <c r="Q10" s="243"/>
      <c r="R10" s="239"/>
    </row>
    <row r="11" spans="1:18" ht="18.75" customHeight="1">
      <c r="A11" s="240" t="s">
        <v>401</v>
      </c>
      <c r="B11" s="241" t="s">
        <v>533</v>
      </c>
      <c r="C11" s="240" t="s">
        <v>534</v>
      </c>
      <c r="D11" s="242"/>
      <c r="E11" s="142"/>
      <c r="F11" s="142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39"/>
    </row>
    <row r="12" spans="1:18" ht="18.75" customHeight="1">
      <c r="A12" s="240" t="s">
        <v>403</v>
      </c>
      <c r="B12" s="241" t="s">
        <v>535</v>
      </c>
      <c r="C12" s="240" t="s">
        <v>536</v>
      </c>
      <c r="D12" s="242"/>
      <c r="E12" s="142"/>
      <c r="F12" s="142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39"/>
    </row>
    <row r="13" spans="1:18" ht="18.75" customHeight="1">
      <c r="A13" s="240" t="s">
        <v>403</v>
      </c>
      <c r="B13" s="241" t="s">
        <v>537</v>
      </c>
      <c r="C13" s="240" t="s">
        <v>538</v>
      </c>
      <c r="D13" s="242"/>
      <c r="E13" s="142"/>
      <c r="F13" s="142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39"/>
    </row>
    <row r="14" spans="1:18" ht="18.75" customHeight="1">
      <c r="A14" s="240" t="s">
        <v>401</v>
      </c>
      <c r="B14" s="241" t="s">
        <v>539</v>
      </c>
      <c r="C14" s="240" t="s">
        <v>540</v>
      </c>
      <c r="D14" s="242"/>
      <c r="E14" s="142"/>
      <c r="F14" s="142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39"/>
    </row>
    <row r="15" spans="1:18" ht="18.75" customHeight="1">
      <c r="A15" s="240" t="s">
        <v>403</v>
      </c>
      <c r="B15" s="241" t="s">
        <v>541</v>
      </c>
      <c r="C15" s="240" t="s">
        <v>412</v>
      </c>
      <c r="D15" s="242"/>
      <c r="E15" s="142">
        <f>'7.mell'!F38</f>
        <v>43423968</v>
      </c>
      <c r="F15" s="142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/>
    </row>
    <row r="16" spans="1:18" ht="18.75" customHeight="1">
      <c r="A16" s="240" t="s">
        <v>404</v>
      </c>
      <c r="B16" s="241" t="s">
        <v>542</v>
      </c>
      <c r="C16" s="240" t="s">
        <v>543</v>
      </c>
      <c r="D16" s="242"/>
      <c r="E16" s="142"/>
      <c r="F16" s="142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39"/>
    </row>
    <row r="17" spans="1:18" ht="18.75" customHeight="1">
      <c r="A17" s="240" t="s">
        <v>403</v>
      </c>
      <c r="B17" s="241" t="s">
        <v>544</v>
      </c>
      <c r="C17" s="240" t="s">
        <v>416</v>
      </c>
      <c r="D17" s="242"/>
      <c r="E17" s="142"/>
      <c r="F17" s="142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39"/>
    </row>
    <row r="18" spans="1:18" ht="18.75" customHeight="1">
      <c r="A18" s="240" t="s">
        <v>401</v>
      </c>
      <c r="B18" s="241" t="s">
        <v>545</v>
      </c>
      <c r="C18" s="240" t="s">
        <v>546</v>
      </c>
      <c r="D18" s="242"/>
      <c r="E18" s="142"/>
      <c r="F18" s="142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39"/>
    </row>
    <row r="19" spans="1:18" ht="18.75" customHeight="1">
      <c r="A19" s="240" t="s">
        <v>404</v>
      </c>
      <c r="B19" s="241" t="s">
        <v>547</v>
      </c>
      <c r="C19" s="240" t="s">
        <v>548</v>
      </c>
      <c r="D19" s="242"/>
      <c r="E19" s="142"/>
      <c r="F19" s="142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239"/>
    </row>
    <row r="20" spans="1:18" ht="18.75" customHeight="1">
      <c r="A20" s="240" t="s">
        <v>401</v>
      </c>
      <c r="B20" s="241" t="s">
        <v>549</v>
      </c>
      <c r="C20" s="240" t="s">
        <v>550</v>
      </c>
      <c r="D20" s="242"/>
      <c r="E20" s="142"/>
      <c r="F20" s="142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239"/>
    </row>
    <row r="21" spans="1:18" ht="18.75" customHeight="1">
      <c r="A21" s="240" t="s">
        <v>403</v>
      </c>
      <c r="B21" s="241" t="s">
        <v>433</v>
      </c>
      <c r="C21" s="240" t="s">
        <v>551</v>
      </c>
      <c r="D21" s="242"/>
      <c r="E21" s="142"/>
      <c r="F21" s="142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239"/>
    </row>
    <row r="22" spans="1:18" ht="18.75" customHeight="1">
      <c r="A22" s="240" t="s">
        <v>404</v>
      </c>
      <c r="B22" s="241" t="s">
        <v>552</v>
      </c>
      <c r="C22" s="240" t="s">
        <v>553</v>
      </c>
      <c r="D22" s="242"/>
      <c r="E22" s="142"/>
      <c r="F22" s="142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239"/>
    </row>
    <row r="23" spans="1:18" ht="18.75" customHeight="1">
      <c r="A23" s="240" t="s">
        <v>403</v>
      </c>
      <c r="B23" s="241" t="s">
        <v>554</v>
      </c>
      <c r="C23" s="240" t="s">
        <v>444</v>
      </c>
      <c r="D23" s="242"/>
      <c r="E23" s="142"/>
      <c r="F23" s="142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39"/>
    </row>
    <row r="24" spans="1:18" ht="18.75" customHeight="1">
      <c r="A24" s="240" t="s">
        <v>403</v>
      </c>
      <c r="B24" s="241" t="s">
        <v>555</v>
      </c>
      <c r="C24" s="240" t="s">
        <v>556</v>
      </c>
      <c r="D24" s="242"/>
      <c r="E24" s="142"/>
      <c r="F24" s="142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39"/>
    </row>
    <row r="25" spans="1:18" ht="18.75" customHeight="1">
      <c r="A25" s="240" t="s">
        <v>403</v>
      </c>
      <c r="B25" s="241" t="s">
        <v>557</v>
      </c>
      <c r="C25" s="240" t="s">
        <v>445</v>
      </c>
      <c r="D25" s="242"/>
      <c r="E25" s="142"/>
      <c r="F25" s="142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39"/>
    </row>
    <row r="26" spans="1:18" ht="18.75" customHeight="1">
      <c r="A26" s="240" t="s">
        <v>403</v>
      </c>
      <c r="B26" s="241" t="s">
        <v>558</v>
      </c>
      <c r="C26" s="240" t="s">
        <v>559</v>
      </c>
      <c r="D26" s="242"/>
      <c r="E26" s="142"/>
      <c r="F26" s="142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39"/>
    </row>
    <row r="27" spans="1:18" ht="18.75" customHeight="1">
      <c r="A27" s="745" t="s">
        <v>452</v>
      </c>
      <c r="B27" s="745"/>
      <c r="C27" s="745"/>
      <c r="D27" s="242"/>
      <c r="E27" s="142">
        <f>SUM(E10:E26)</f>
        <v>43642992</v>
      </c>
      <c r="F27" s="142">
        <f aca="true" t="shared" si="0" ref="F27:R27">SUM(F10:F26)</f>
        <v>42964353</v>
      </c>
      <c r="G27" s="142">
        <f t="shared" si="0"/>
        <v>32697218</v>
      </c>
      <c r="H27" s="142">
        <f t="shared" si="0"/>
        <v>6745844</v>
      </c>
      <c r="I27" s="142">
        <f t="shared" si="0"/>
        <v>3464114</v>
      </c>
      <c r="J27" s="142">
        <f t="shared" si="0"/>
        <v>0</v>
      </c>
      <c r="K27" s="142">
        <f t="shared" si="0"/>
        <v>0</v>
      </c>
      <c r="L27" s="142">
        <f t="shared" si="0"/>
        <v>0</v>
      </c>
      <c r="M27" s="142">
        <f t="shared" si="0"/>
        <v>0</v>
      </c>
      <c r="N27" s="142">
        <f t="shared" si="0"/>
        <v>57177</v>
      </c>
      <c r="O27" s="142">
        <f t="shared" si="0"/>
        <v>0</v>
      </c>
      <c r="P27" s="142">
        <f t="shared" si="0"/>
        <v>0</v>
      </c>
      <c r="Q27" s="142">
        <f t="shared" si="0"/>
        <v>0</v>
      </c>
      <c r="R27" s="142">
        <f t="shared" si="0"/>
        <v>0</v>
      </c>
    </row>
    <row r="28" spans="1:18" ht="18.75" customHeight="1">
      <c r="A28" s="240"/>
      <c r="B28" s="241"/>
      <c r="C28" s="240"/>
      <c r="D28" s="242"/>
      <c r="E28" s="142"/>
      <c r="F28" s="1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39"/>
    </row>
    <row r="29" spans="1:18" ht="18.75" customHeight="1">
      <c r="A29" s="745" t="s">
        <v>449</v>
      </c>
      <c r="B29" s="745"/>
      <c r="C29" s="745"/>
      <c r="D29" s="245"/>
      <c r="E29" s="142">
        <f>E10</f>
        <v>219024</v>
      </c>
      <c r="F29" s="142">
        <f>F10</f>
        <v>42964353</v>
      </c>
      <c r="G29" s="143"/>
      <c r="H29" s="143"/>
      <c r="I29" s="143"/>
      <c r="J29" s="143"/>
      <c r="K29" s="143"/>
      <c r="L29" s="143"/>
      <c r="M29" s="143"/>
      <c r="N29" s="143"/>
      <c r="O29" s="144"/>
      <c r="P29" s="143"/>
      <c r="Q29" s="143"/>
      <c r="R29" s="143"/>
    </row>
    <row r="30" spans="1:18" ht="18.75" customHeight="1">
      <c r="A30" s="746" t="s">
        <v>447</v>
      </c>
      <c r="B30" s="747"/>
      <c r="C30" s="748"/>
      <c r="D30" s="245"/>
      <c r="E30" s="142">
        <f>E15</f>
        <v>43423968</v>
      </c>
      <c r="F30" s="142">
        <f>F12</f>
        <v>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</row>
    <row r="31" spans="1:18" ht="18.75" customHeight="1">
      <c r="A31" s="246" t="s">
        <v>446</v>
      </c>
      <c r="B31" s="247"/>
      <c r="C31" s="247"/>
      <c r="D31" s="245"/>
      <c r="E31" s="142">
        <f>SUM(E29:E30)</f>
        <v>43642992</v>
      </c>
      <c r="F31" s="142">
        <f>SUM(F29:F30)</f>
        <v>42964353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8" ht="18.75" customHeight="1">
      <c r="A32" s="745"/>
      <c r="B32" s="745"/>
      <c r="C32" s="745"/>
      <c r="D32" s="245"/>
      <c r="E32" s="142"/>
      <c r="F32" s="142"/>
      <c r="G32" s="143"/>
      <c r="H32" s="143"/>
      <c r="I32" s="143"/>
      <c r="J32" s="143"/>
      <c r="K32" s="143"/>
      <c r="L32" s="143"/>
      <c r="M32" s="143"/>
      <c r="N32" s="143"/>
      <c r="O32" s="144"/>
      <c r="P32" s="143"/>
      <c r="Q32" s="143"/>
      <c r="R32" s="143"/>
    </row>
  </sheetData>
  <sheetProtection/>
  <mergeCells count="26">
    <mergeCell ref="B1:C1"/>
    <mergeCell ref="A3:R3"/>
    <mergeCell ref="B4:P4"/>
    <mergeCell ref="A6:D8"/>
    <mergeCell ref="E6:E8"/>
    <mergeCell ref="F6:F8"/>
    <mergeCell ref="G6:L6"/>
    <mergeCell ref="M6:P6"/>
    <mergeCell ref="Q6:R6"/>
    <mergeCell ref="G7:G8"/>
    <mergeCell ref="P7:P8"/>
    <mergeCell ref="Q7:Q8"/>
    <mergeCell ref="R7:R8"/>
    <mergeCell ref="A9:C9"/>
    <mergeCell ref="H7:H8"/>
    <mergeCell ref="I7:I8"/>
    <mergeCell ref="J7:J8"/>
    <mergeCell ref="K7:K8"/>
    <mergeCell ref="L7:L8"/>
    <mergeCell ref="M7:M8"/>
    <mergeCell ref="A27:C27"/>
    <mergeCell ref="A29:C29"/>
    <mergeCell ref="A30:C30"/>
    <mergeCell ref="A32:C32"/>
    <mergeCell ref="N7:N8"/>
    <mergeCell ref="O7:O8"/>
  </mergeCells>
  <printOptions/>
  <pageMargins left="0.7" right="0.7" top="0.75" bottom="0.75" header="0.3" footer="0.3"/>
  <pageSetup fitToHeight="1" fitToWidth="1" horizontalDpi="600" verticalDpi="600" orientation="landscape" paperSize="9" scale="41" r:id="rId1"/>
  <headerFooter>
    <oddHeader>&amp;Ca 12/2020. (VII. 10.) önkormányzati rendelet 8.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szikra</dc:creator>
  <cp:keywords/>
  <dc:description/>
  <cp:lastModifiedBy>DELL</cp:lastModifiedBy>
  <cp:lastPrinted>2020-09-05T15:56:54Z</cp:lastPrinted>
  <dcterms:created xsi:type="dcterms:W3CDTF">2014-01-29T07:49:24Z</dcterms:created>
  <dcterms:modified xsi:type="dcterms:W3CDTF">2020-09-09T09:50:09Z</dcterms:modified>
  <cp:category/>
  <cp:version/>
  <cp:contentType/>
  <cp:contentStatus/>
</cp:coreProperties>
</file>